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7"/>
  </bookViews>
  <sheets>
    <sheet name="01.01.2021" sheetId="17" r:id="rId1"/>
    <sheet name="01.06.2022" sheetId="29" r:id="rId2"/>
    <sheet name="01.07.2022" sheetId="31" r:id="rId3"/>
    <sheet name="исслед" sheetId="26" r:id="rId4"/>
    <sheet name="экспер" sheetId="27" r:id="rId5"/>
    <sheet name="модер" sheetId="28" r:id="rId6"/>
    <sheet name="модер 01.06.2022" sheetId="30" r:id="rId7"/>
    <sheet name="модер 01.07.22" sheetId="32" r:id="rId8"/>
  </sheets>
  <definedNames>
    <definedName name="_xlnm.Print_Area" localSheetId="0">'01.01.2021'!$A$1:$BG$85</definedName>
  </definedNames>
  <calcPr calcId="145621"/>
</workbook>
</file>

<file path=xl/calcChain.xml><?xml version="1.0" encoding="utf-8"?>
<calcChain xmlns="http://schemas.openxmlformats.org/spreadsheetml/2006/main">
  <c r="AH8" i="32" l="1"/>
  <c r="AH9" i="32" s="1"/>
  <c r="AB8" i="32"/>
  <c r="AB9" i="32" s="1"/>
  <c r="U8" i="32"/>
  <c r="L8" i="32"/>
  <c r="M8" i="32" s="1"/>
  <c r="AS8" i="32" s="1"/>
  <c r="AI8" i="32" l="1"/>
  <c r="AI9" i="32" s="1"/>
  <c r="AS9" i="32"/>
  <c r="AT9" i="32" s="1"/>
  <c r="AT8" i="32"/>
  <c r="AX9" i="32"/>
  <c r="U9" i="32"/>
  <c r="AY8" i="32" l="1"/>
  <c r="AY9" i="32" s="1"/>
  <c r="BC8" i="32" l="1"/>
  <c r="BF8" i="32" l="1"/>
  <c r="BC9" i="32"/>
  <c r="BE8" i="32"/>
  <c r="BD8" i="32"/>
  <c r="BE9" i="32" l="1"/>
  <c r="BD9" i="32"/>
  <c r="BF9" i="32"/>
  <c r="BD11" i="31" l="1"/>
  <c r="AX11" i="31"/>
  <c r="AU11" i="31"/>
  <c r="AT11" i="31"/>
  <c r="AS11" i="31"/>
  <c r="AP11" i="31"/>
  <c r="AO11" i="31"/>
  <c r="AN11" i="31"/>
  <c r="AM11" i="31"/>
  <c r="AL11" i="31"/>
  <c r="AK11" i="31"/>
  <c r="AF11" i="31"/>
  <c r="AE11" i="31"/>
  <c r="AD11" i="31"/>
  <c r="AC11" i="31"/>
  <c r="AB11" i="31"/>
  <c r="Z11" i="31"/>
  <c r="Y11" i="31"/>
  <c r="X11" i="31"/>
  <c r="W11" i="31"/>
  <c r="V11" i="31"/>
  <c r="U11" i="31"/>
  <c r="T11" i="31"/>
  <c r="R11" i="31"/>
  <c r="Q11" i="31"/>
  <c r="P11" i="31"/>
  <c r="O11" i="31"/>
  <c r="N11" i="31"/>
  <c r="J11" i="31"/>
  <c r="AG10" i="31"/>
  <c r="AA10" i="31"/>
  <c r="S10" i="31"/>
  <c r="J10" i="31"/>
  <c r="AG9" i="31"/>
  <c r="AA9" i="31"/>
  <c r="S9" i="31"/>
  <c r="J9" i="31"/>
  <c r="AG8" i="31"/>
  <c r="AA8" i="31"/>
  <c r="S8" i="31"/>
  <c r="J8" i="31"/>
  <c r="AG7" i="31"/>
  <c r="AA7" i="31"/>
  <c r="S7" i="31"/>
  <c r="J7" i="31"/>
  <c r="AG6" i="31"/>
  <c r="AA6" i="31"/>
  <c r="S6" i="31"/>
  <c r="J6" i="31"/>
  <c r="AQ6" i="31" l="1"/>
  <c r="S11" i="31"/>
  <c r="AQ10" i="31"/>
  <c r="AQ8" i="31"/>
  <c r="AQ9" i="31"/>
  <c r="AJ7" i="31"/>
  <c r="AQ7" i="31"/>
  <c r="AI7" i="31"/>
  <c r="K7" i="31"/>
  <c r="AZ7" i="31" s="1"/>
  <c r="BA7" i="31" s="1"/>
  <c r="BB7" i="31" s="1"/>
  <c r="AH7" i="31"/>
  <c r="AG11" i="31"/>
  <c r="AI6" i="31"/>
  <c r="AH6" i="31"/>
  <c r="K6" i="31"/>
  <c r="AZ6" i="31" s="1"/>
  <c r="AJ6" i="31"/>
  <c r="AI8" i="31"/>
  <c r="AH8" i="31"/>
  <c r="K8" i="31"/>
  <c r="AZ8" i="31" s="1"/>
  <c r="AA11" i="31"/>
  <c r="AI9" i="31"/>
  <c r="AH9" i="31"/>
  <c r="K9" i="31"/>
  <c r="AZ9" i="31" s="1"/>
  <c r="AJ8" i="31"/>
  <c r="AJ9" i="31"/>
  <c r="AJ10" i="31"/>
  <c r="AI10" i="31"/>
  <c r="AH10" i="31"/>
  <c r="K10" i="31"/>
  <c r="AZ10" i="31" s="1"/>
  <c r="AX8" i="30"/>
  <c r="K9" i="30"/>
  <c r="AH8" i="30"/>
  <c r="AB8" i="30"/>
  <c r="AB9" i="30" s="1"/>
  <c r="U8" i="30"/>
  <c r="L8" i="30"/>
  <c r="L9" i="30" s="1"/>
  <c r="U9" i="30"/>
  <c r="AV11" i="31" l="1"/>
  <c r="AW7" i="31"/>
  <c r="BF7" i="31" s="1"/>
  <c r="AJ11" i="31"/>
  <c r="AH11" i="31"/>
  <c r="AR7" i="31"/>
  <c r="AI11" i="31"/>
  <c r="BA10" i="31"/>
  <c r="BB10" i="31" s="1"/>
  <c r="BA6" i="31"/>
  <c r="BB6" i="31" s="1"/>
  <c r="AW10" i="31"/>
  <c r="BF10" i="31" s="1"/>
  <c r="AR10" i="31"/>
  <c r="BA8" i="31"/>
  <c r="BB8" i="31" s="1"/>
  <c r="AW6" i="31"/>
  <c r="BF6" i="31" s="1"/>
  <c r="AR6" i="31"/>
  <c r="BA9" i="31"/>
  <c r="BB9" i="31" s="1"/>
  <c r="AW8" i="31"/>
  <c r="BF8" i="31" s="1"/>
  <c r="AR8" i="31"/>
  <c r="AQ11" i="31"/>
  <c r="AZ11" i="31"/>
  <c r="AW9" i="31"/>
  <c r="BF9" i="31" s="1"/>
  <c r="AR9" i="31"/>
  <c r="AI8" i="30"/>
  <c r="AH9" i="30"/>
  <c r="M8" i="30"/>
  <c r="AY7" i="31" l="1"/>
  <c r="BE7" i="31" s="1"/>
  <c r="BG7" i="31" s="1"/>
  <c r="AY10" i="31"/>
  <c r="BE10" i="31" s="1"/>
  <c r="BG10" i="31" s="1"/>
  <c r="AY8" i="31"/>
  <c r="BE8" i="31" s="1"/>
  <c r="BG8" i="31" s="1"/>
  <c r="BF11" i="31"/>
  <c r="AY6" i="31"/>
  <c r="BE6" i="31" s="1"/>
  <c r="BG6" i="31" s="1"/>
  <c r="AY9" i="31"/>
  <c r="BE9" i="31" s="1"/>
  <c r="BG9" i="31" s="1"/>
  <c r="BA11" i="31"/>
  <c r="AW11" i="31"/>
  <c r="BB11" i="31"/>
  <c r="AR11" i="31"/>
  <c r="AI9" i="30"/>
  <c r="AS8" i="30"/>
  <c r="M9" i="30"/>
  <c r="BE11" i="31" l="1"/>
  <c r="BG11" i="31" s="1"/>
  <c r="AY11" i="31"/>
  <c r="AX9" i="30"/>
  <c r="AY8" i="30"/>
  <c r="AY9" i="30" s="1"/>
  <c r="AT8" i="30"/>
  <c r="AS9" i="30"/>
  <c r="AT9" i="30" s="1"/>
  <c r="BC8" i="30" l="1"/>
  <c r="BD8" i="30" l="1"/>
  <c r="BF8" i="30"/>
  <c r="BE8" i="30"/>
  <c r="BC9" i="30"/>
  <c r="BD9" i="30" l="1"/>
  <c r="BE9" i="30"/>
  <c r="BF9" i="30"/>
  <c r="BD14" i="29" l="1"/>
  <c r="AX14" i="29"/>
  <c r="AU14" i="29"/>
  <c r="AT14" i="29"/>
  <c r="AS14" i="29"/>
  <c r="AP14" i="29"/>
  <c r="AO14" i="29"/>
  <c r="AN14" i="29"/>
  <c r="AM14" i="29"/>
  <c r="AL14" i="29"/>
  <c r="AK14" i="29"/>
  <c r="AF14" i="29"/>
  <c r="AE14" i="29"/>
  <c r="AD14" i="29"/>
  <c r="AC14" i="29"/>
  <c r="AB14" i="29"/>
  <c r="Z14" i="29"/>
  <c r="Y14" i="29"/>
  <c r="X14" i="29"/>
  <c r="W14" i="29"/>
  <c r="V14" i="29"/>
  <c r="U14" i="29"/>
  <c r="T14" i="29"/>
  <c r="R14" i="29"/>
  <c r="Q14" i="29"/>
  <c r="P14" i="29"/>
  <c r="O14" i="29"/>
  <c r="N14" i="29"/>
  <c r="J14" i="29"/>
  <c r="AG13" i="29"/>
  <c r="AA13" i="29"/>
  <c r="S13" i="29"/>
  <c r="J13" i="29"/>
  <c r="AG12" i="29"/>
  <c r="AA12" i="29"/>
  <c r="AQ12" i="29" s="1"/>
  <c r="S12" i="29"/>
  <c r="AZ12" i="29" s="1"/>
  <c r="J12" i="29"/>
  <c r="AH12" i="29" s="1"/>
  <c r="AG11" i="29"/>
  <c r="AA11" i="29"/>
  <c r="S11" i="29"/>
  <c r="J11" i="29"/>
  <c r="AJ11" i="29" s="1"/>
  <c r="AG10" i="29"/>
  <c r="AA10" i="29"/>
  <c r="S10" i="29"/>
  <c r="J10" i="29"/>
  <c r="AG9" i="29"/>
  <c r="AA9" i="29"/>
  <c r="S9" i="29"/>
  <c r="J9" i="29"/>
  <c r="AG8" i="29"/>
  <c r="AA8" i="29"/>
  <c r="S8" i="29"/>
  <c r="J8" i="29"/>
  <c r="AG7" i="29"/>
  <c r="AA7" i="29"/>
  <c r="S7" i="29"/>
  <c r="J7" i="29"/>
  <c r="AG6" i="29"/>
  <c r="AA6" i="29"/>
  <c r="S6" i="29"/>
  <c r="J6" i="29"/>
  <c r="AV6" i="29" s="1"/>
  <c r="AZ7" i="29" l="1"/>
  <c r="BA7" i="29" s="1"/>
  <c r="BB7" i="29" s="1"/>
  <c r="AH6" i="29"/>
  <c r="AI6" i="29"/>
  <c r="K11" i="29"/>
  <c r="AI11" i="29"/>
  <c r="AI8" i="29"/>
  <c r="AV8" i="29"/>
  <c r="AQ7" i="29"/>
  <c r="AQ11" i="29"/>
  <c r="AQ13" i="29"/>
  <c r="AH10" i="29"/>
  <c r="AV10" i="29"/>
  <c r="S14" i="29"/>
  <c r="AH7" i="29"/>
  <c r="AV7" i="29"/>
  <c r="AI7" i="29"/>
  <c r="AQ9" i="29"/>
  <c r="AQ8" i="29"/>
  <c r="AI9" i="29"/>
  <c r="AZ10" i="29"/>
  <c r="BA10" i="29" s="1"/>
  <c r="BB10" i="29" s="1"/>
  <c r="AJ8" i="29"/>
  <c r="AZ9" i="29"/>
  <c r="BA9" i="29" s="1"/>
  <c r="AH9" i="29"/>
  <c r="AZ8" i="29"/>
  <c r="BA8" i="29" s="1"/>
  <c r="BB8" i="29" s="1"/>
  <c r="AH8" i="29"/>
  <c r="AJ9" i="29"/>
  <c r="AI10" i="29"/>
  <c r="AV12" i="29"/>
  <c r="AI12" i="29"/>
  <c r="AJ12" i="29"/>
  <c r="AA14" i="29"/>
  <c r="AJ6" i="29"/>
  <c r="AJ10" i="29"/>
  <c r="AZ11" i="29"/>
  <c r="AH11" i="29"/>
  <c r="BA12" i="29"/>
  <c r="BB12" i="29" s="1"/>
  <c r="AQ6" i="29"/>
  <c r="AG14" i="29"/>
  <c r="AQ10" i="29"/>
  <c r="AZ6" i="29"/>
  <c r="AJ7" i="29"/>
  <c r="AH13" i="29"/>
  <c r="K13" i="29"/>
  <c r="AZ13" i="29" s="1"/>
  <c r="AJ13" i="29"/>
  <c r="AI13" i="29"/>
  <c r="AA65" i="17"/>
  <c r="AW7" i="29" l="1"/>
  <c r="BF7" i="29" s="1"/>
  <c r="AW8" i="29"/>
  <c r="BF8" i="29" s="1"/>
  <c r="AI14" i="29"/>
  <c r="AW6" i="29"/>
  <c r="AY6" i="29" s="1"/>
  <c r="AW9" i="29"/>
  <c r="BF9" i="29" s="1"/>
  <c r="AR8" i="29"/>
  <c r="AR6" i="29"/>
  <c r="AR9" i="29"/>
  <c r="AR10" i="29"/>
  <c r="BB9" i="29"/>
  <c r="AV14" i="29"/>
  <c r="AW12" i="29"/>
  <c r="BF12" i="29" s="1"/>
  <c r="BA13" i="29"/>
  <c r="BB13" i="29" s="1"/>
  <c r="AR12" i="29"/>
  <c r="AZ14" i="29"/>
  <c r="BA6" i="29"/>
  <c r="AQ14" i="29"/>
  <c r="AW10" i="29"/>
  <c r="BF10" i="29" s="1"/>
  <c r="AR7" i="29"/>
  <c r="BA11" i="29"/>
  <c r="BB11" i="29" s="1"/>
  <c r="AR13" i="29"/>
  <c r="AW13" i="29"/>
  <c r="BF13" i="29" s="1"/>
  <c r="AR11" i="29"/>
  <c r="AW11" i="29"/>
  <c r="BF11" i="29" s="1"/>
  <c r="AJ14" i="29"/>
  <c r="AH14" i="29"/>
  <c r="AH8" i="27"/>
  <c r="AB8" i="27"/>
  <c r="U8" i="27"/>
  <c r="L8" i="27"/>
  <c r="M8" i="27" s="1"/>
  <c r="BF6" i="29" l="1"/>
  <c r="BF14" i="29" s="1"/>
  <c r="AY7" i="29"/>
  <c r="BE7" i="29" s="1"/>
  <c r="BG7" i="29" s="1"/>
  <c r="AY8" i="29"/>
  <c r="AY9" i="29"/>
  <c r="BE8" i="29"/>
  <c r="BG8" i="29" s="1"/>
  <c r="AY12" i="29"/>
  <c r="BE12" i="29" s="1"/>
  <c r="BG12" i="29" s="1"/>
  <c r="BE9" i="29"/>
  <c r="BG9" i="29" s="1"/>
  <c r="BA14" i="29"/>
  <c r="AW14" i="29"/>
  <c r="AR14" i="29"/>
  <c r="AY11" i="29"/>
  <c r="BE11" i="29" s="1"/>
  <c r="BG11" i="29" s="1"/>
  <c r="AY13" i="29"/>
  <c r="BE13" i="29" s="1"/>
  <c r="BG13" i="29" s="1"/>
  <c r="AY10" i="29"/>
  <c r="BE10" i="29" s="1"/>
  <c r="BG10" i="29" s="1"/>
  <c r="BB6" i="29"/>
  <c r="BB14" i="29" s="1"/>
  <c r="BE6" i="29"/>
  <c r="AI8" i="27"/>
  <c r="AS8" i="27"/>
  <c r="AT8" i="27" s="1"/>
  <c r="AY8" i="27"/>
  <c r="BC8" i="27" s="1"/>
  <c r="AY9" i="27"/>
  <c r="AY11" i="26"/>
  <c r="AY10" i="26"/>
  <c r="AH12" i="26"/>
  <c r="AB12" i="26"/>
  <c r="U12" i="26"/>
  <c r="AI12" i="26" s="1"/>
  <c r="L12" i="26"/>
  <c r="M12" i="26" s="1"/>
  <c r="AG64" i="17"/>
  <c r="AA64" i="17"/>
  <c r="S64" i="17"/>
  <c r="J64" i="17"/>
  <c r="AG63" i="17"/>
  <c r="AA63" i="17"/>
  <c r="S63" i="17"/>
  <c r="J63" i="17"/>
  <c r="AI63" i="17" s="1"/>
  <c r="J77" i="17"/>
  <c r="AV77" i="17" s="1"/>
  <c r="AW77" i="17" s="1"/>
  <c r="AG54" i="17"/>
  <c r="AA54" i="17"/>
  <c r="S54" i="17"/>
  <c r="J54" i="17"/>
  <c r="AV54" i="17" s="1"/>
  <c r="AG62" i="17"/>
  <c r="AA62" i="17"/>
  <c r="S62" i="17"/>
  <c r="J62" i="17"/>
  <c r="AG50" i="17"/>
  <c r="AA50" i="17"/>
  <c r="S50" i="17"/>
  <c r="J50" i="17"/>
  <c r="AG49" i="17"/>
  <c r="AA49" i="17"/>
  <c r="S49" i="17"/>
  <c r="J49" i="17"/>
  <c r="AG48" i="17"/>
  <c r="AA48" i="17"/>
  <c r="S48" i="17"/>
  <c r="J48" i="17"/>
  <c r="AG61" i="17"/>
  <c r="AA61" i="17"/>
  <c r="S61" i="17"/>
  <c r="J61" i="17"/>
  <c r="AG47" i="17"/>
  <c r="AA47" i="17"/>
  <c r="S47" i="17"/>
  <c r="J47" i="17"/>
  <c r="AG46" i="17"/>
  <c r="AA46" i="17"/>
  <c r="S46" i="17"/>
  <c r="J46" i="17"/>
  <c r="AG45" i="17"/>
  <c r="AA45" i="17"/>
  <c r="S45" i="17"/>
  <c r="J45" i="17"/>
  <c r="AG60" i="17"/>
  <c r="AA60" i="17"/>
  <c r="S60" i="17"/>
  <c r="J60" i="17"/>
  <c r="AG44" i="17"/>
  <c r="AA44" i="17"/>
  <c r="S44" i="17"/>
  <c r="J44" i="17"/>
  <c r="AG55" i="17"/>
  <c r="AA55" i="17"/>
  <c r="S55" i="17"/>
  <c r="J55" i="17"/>
  <c r="AG53" i="17"/>
  <c r="AA53" i="17"/>
  <c r="S53" i="17"/>
  <c r="J53" i="17"/>
  <c r="AG39" i="17"/>
  <c r="AA39" i="17"/>
  <c r="S39" i="17"/>
  <c r="J39" i="17"/>
  <c r="AG34" i="17"/>
  <c r="AA34" i="17"/>
  <c r="S34" i="17"/>
  <c r="J34" i="17"/>
  <c r="AG33" i="17"/>
  <c r="AA33" i="17"/>
  <c r="S33" i="17"/>
  <c r="J33" i="17"/>
  <c r="AG31" i="17"/>
  <c r="AA31" i="17"/>
  <c r="S31" i="17"/>
  <c r="J31" i="17"/>
  <c r="AG30" i="17"/>
  <c r="AA30" i="17"/>
  <c r="S30" i="17"/>
  <c r="J30" i="17"/>
  <c r="J74" i="17"/>
  <c r="AV74" i="17" s="1"/>
  <c r="AW74" i="17" s="1"/>
  <c r="BF74" i="17" s="1"/>
  <c r="AG59" i="17"/>
  <c r="AA59" i="17"/>
  <c r="S59" i="17"/>
  <c r="J59" i="17"/>
  <c r="AG58" i="17"/>
  <c r="AA58" i="17"/>
  <c r="S58" i="17"/>
  <c r="J58" i="17"/>
  <c r="AG57" i="17"/>
  <c r="AA57" i="17"/>
  <c r="S57" i="17"/>
  <c r="J57" i="17"/>
  <c r="AG56" i="17"/>
  <c r="AA56" i="17"/>
  <c r="S56" i="17"/>
  <c r="J56" i="17"/>
  <c r="AV56" i="17" s="1"/>
  <c r="AG52" i="17"/>
  <c r="AA52" i="17"/>
  <c r="S52" i="17"/>
  <c r="J52" i="17"/>
  <c r="AG51" i="17"/>
  <c r="AA51" i="17"/>
  <c r="S51" i="17"/>
  <c r="J51" i="17"/>
  <c r="AV51" i="17" s="1"/>
  <c r="AG43" i="17"/>
  <c r="AA43" i="17"/>
  <c r="S43" i="17"/>
  <c r="J43" i="17"/>
  <c r="AG42" i="17"/>
  <c r="AA42" i="17"/>
  <c r="S42" i="17"/>
  <c r="J42" i="17"/>
  <c r="AV42" i="17" s="1"/>
  <c r="AG41" i="17"/>
  <c r="AA41" i="17"/>
  <c r="S41" i="17"/>
  <c r="J41" i="17"/>
  <c r="AG40" i="17"/>
  <c r="AA40" i="17"/>
  <c r="S40" i="17"/>
  <c r="J40" i="17"/>
  <c r="AG38" i="17"/>
  <c r="AA38" i="17"/>
  <c r="S38" i="17"/>
  <c r="J38" i="17"/>
  <c r="AG37" i="17"/>
  <c r="AA37" i="17"/>
  <c r="S37" i="17"/>
  <c r="J37" i="17"/>
  <c r="AG36" i="17"/>
  <c r="AA36" i="17"/>
  <c r="S36" i="17"/>
  <c r="J36" i="17"/>
  <c r="AG35" i="17"/>
  <c r="AA35" i="17"/>
  <c r="S35" i="17"/>
  <c r="J35" i="17"/>
  <c r="AG32" i="17"/>
  <c r="AA32" i="17"/>
  <c r="S32" i="17"/>
  <c r="J32" i="17"/>
  <c r="AG29" i="17"/>
  <c r="AA29" i="17"/>
  <c r="S29" i="17"/>
  <c r="J29" i="17"/>
  <c r="AG28" i="17"/>
  <c r="AA28" i="17"/>
  <c r="S28" i="17"/>
  <c r="J28" i="17"/>
  <c r="AY14" i="29" l="1"/>
  <c r="BE14" i="29"/>
  <c r="BG14" i="29" s="1"/>
  <c r="BG6" i="29"/>
  <c r="AI64" i="17"/>
  <c r="K64" i="17"/>
  <c r="AZ64" i="17" s="1"/>
  <c r="BA64" i="17" s="1"/>
  <c r="AH64" i="17"/>
  <c r="AQ64" i="17"/>
  <c r="AJ64" i="17"/>
  <c r="AH50" i="17"/>
  <c r="BE8" i="27"/>
  <c r="BD8" i="27"/>
  <c r="BF8" i="27"/>
  <c r="AS12" i="26"/>
  <c r="AT12" i="26" s="1"/>
  <c r="AY12" i="26" s="1"/>
  <c r="K63" i="17"/>
  <c r="AZ63" i="17" s="1"/>
  <c r="BA63" i="17" s="1"/>
  <c r="AH63" i="17"/>
  <c r="AW63" i="17" s="1"/>
  <c r="BF63" i="17" s="1"/>
  <c r="AI37" i="17"/>
  <c r="AI58" i="17"/>
  <c r="AI62" i="17"/>
  <c r="AQ63" i="17"/>
  <c r="AJ63" i="17"/>
  <c r="K50" i="17"/>
  <c r="AZ50" i="17" s="1"/>
  <c r="AQ62" i="17"/>
  <c r="AZ54" i="17"/>
  <c r="BA54" i="17" s="1"/>
  <c r="AR64" i="17"/>
  <c r="AR63" i="17"/>
  <c r="BF77" i="17"/>
  <c r="AI31" i="17"/>
  <c r="AI39" i="17"/>
  <c r="AI47" i="17"/>
  <c r="AI49" i="17"/>
  <c r="AJ38" i="17"/>
  <c r="AH52" i="17"/>
  <c r="AJ57" i="17"/>
  <c r="AJ59" i="17"/>
  <c r="AH54" i="17"/>
  <c r="AI54" i="17"/>
  <c r="BB54" i="17"/>
  <c r="AQ37" i="17"/>
  <c r="K38" i="17"/>
  <c r="AZ38" i="17" s="1"/>
  <c r="AH38" i="17"/>
  <c r="K57" i="17"/>
  <c r="AZ57" i="17" s="1"/>
  <c r="BA57" i="17" s="1"/>
  <c r="AH57" i="17"/>
  <c r="AJ30" i="17"/>
  <c r="AJ33" i="17"/>
  <c r="AH34" i="17"/>
  <c r="AH55" i="17"/>
  <c r="AJ45" i="17"/>
  <c r="AJ61" i="17"/>
  <c r="AI50" i="17"/>
  <c r="K62" i="17"/>
  <c r="AZ62" i="17" s="1"/>
  <c r="AH62" i="17"/>
  <c r="AJ54" i="17"/>
  <c r="AQ49" i="17"/>
  <c r="AJ62" i="17"/>
  <c r="AR62" i="17" s="1"/>
  <c r="AQ54" i="17"/>
  <c r="K52" i="17"/>
  <c r="AZ52" i="17" s="1"/>
  <c r="K59" i="17"/>
  <c r="AQ50" i="17"/>
  <c r="AR50" i="17" s="1"/>
  <c r="AJ50" i="17"/>
  <c r="AI48" i="17"/>
  <c r="K45" i="17"/>
  <c r="AZ45" i="17" s="1"/>
  <c r="BA45" i="17" s="1"/>
  <c r="AH45" i="17"/>
  <c r="AQ48" i="17"/>
  <c r="K49" i="17"/>
  <c r="AZ49" i="17" s="1"/>
  <c r="BA49" i="17" s="1"/>
  <c r="AH49" i="17"/>
  <c r="AJ49" i="17"/>
  <c r="K55" i="17"/>
  <c r="AZ55" i="17" s="1"/>
  <c r="BA55" i="17" s="1"/>
  <c r="K61" i="17"/>
  <c r="AZ61" i="17" s="1"/>
  <c r="BA61" i="17" s="1"/>
  <c r="AH61" i="17"/>
  <c r="AI53" i="17"/>
  <c r="AJ53" i="17"/>
  <c r="AR49" i="17"/>
  <c r="AQ53" i="17"/>
  <c r="AJ46" i="17"/>
  <c r="AH44" i="17"/>
  <c r="AI60" i="17"/>
  <c r="AJ48" i="17"/>
  <c r="AH40" i="17"/>
  <c r="AH43" i="17"/>
  <c r="AQ31" i="17"/>
  <c r="AQ33" i="17"/>
  <c r="AQ34" i="17"/>
  <c r="K39" i="17"/>
  <c r="AZ39" i="17" s="1"/>
  <c r="BA39" i="17" s="1"/>
  <c r="AH39" i="17"/>
  <c r="AI55" i="17"/>
  <c r="AQ44" i="17"/>
  <c r="K60" i="17"/>
  <c r="AZ60" i="17" s="1"/>
  <c r="BA60" i="17" s="1"/>
  <c r="AH60" i="17"/>
  <c r="AQ45" i="17"/>
  <c r="K47" i="17"/>
  <c r="AZ47" i="17" s="1"/>
  <c r="AH47" i="17"/>
  <c r="AQ61" i="17"/>
  <c r="AQ39" i="17"/>
  <c r="AZ42" i="17"/>
  <c r="AJ39" i="17"/>
  <c r="AQ60" i="17"/>
  <c r="AJ60" i="17"/>
  <c r="AI46" i="17"/>
  <c r="AQ47" i="17"/>
  <c r="AJ47" i="17"/>
  <c r="AH29" i="17"/>
  <c r="AH32" i="17"/>
  <c r="AH36" i="17"/>
  <c r="K53" i="17"/>
  <c r="AZ53" i="17" s="1"/>
  <c r="AH53" i="17"/>
  <c r="AQ55" i="17"/>
  <c r="AJ55" i="17"/>
  <c r="AI45" i="17"/>
  <c r="AZ46" i="17"/>
  <c r="AV46" i="17"/>
  <c r="AI61" i="17"/>
  <c r="K48" i="17"/>
  <c r="AZ48" i="17" s="1"/>
  <c r="BA48" i="17" s="1"/>
  <c r="AH48" i="17"/>
  <c r="AW48" i="17" s="1"/>
  <c r="BB61" i="17"/>
  <c r="BB45" i="17"/>
  <c r="AQ46" i="17"/>
  <c r="AH46" i="17"/>
  <c r="AI44" i="17"/>
  <c r="AJ44" i="17"/>
  <c r="K44" i="17"/>
  <c r="AZ44" i="17" s="1"/>
  <c r="BA44" i="17" s="1"/>
  <c r="AR39" i="17"/>
  <c r="AJ28" i="17"/>
  <c r="AI35" i="17"/>
  <c r="K43" i="17"/>
  <c r="AZ43" i="17" s="1"/>
  <c r="AQ35" i="17"/>
  <c r="K36" i="17"/>
  <c r="AZ36" i="17" s="1"/>
  <c r="K40" i="17"/>
  <c r="AZ40" i="17" s="1"/>
  <c r="AZ59" i="17"/>
  <c r="BA59" i="17" s="1"/>
  <c r="AH59" i="17"/>
  <c r="K30" i="17"/>
  <c r="AZ30" i="17" s="1"/>
  <c r="AH30" i="17"/>
  <c r="AH41" i="17"/>
  <c r="AZ51" i="17"/>
  <c r="AZ56" i="17"/>
  <c r="AI33" i="17"/>
  <c r="AI34" i="17"/>
  <c r="K33" i="17"/>
  <c r="AZ33" i="17" s="1"/>
  <c r="BA33" i="17" s="1"/>
  <c r="AH33" i="17"/>
  <c r="AJ34" i="17"/>
  <c r="K34" i="17"/>
  <c r="AZ34" i="17" s="1"/>
  <c r="BA34" i="17" s="1"/>
  <c r="AJ35" i="17"/>
  <c r="AZ29" i="17"/>
  <c r="AV29" i="17"/>
  <c r="AI36" i="17"/>
  <c r="K37" i="17"/>
  <c r="AZ37" i="17" s="1"/>
  <c r="AH37" i="17"/>
  <c r="AQ38" i="17"/>
  <c r="AI40" i="17"/>
  <c r="AQ41" i="17"/>
  <c r="AI43" i="17"/>
  <c r="AI52" i="17"/>
  <c r="AH56" i="17"/>
  <c r="AI56" i="17"/>
  <c r="AQ57" i="17"/>
  <c r="K58" i="17"/>
  <c r="AZ58" i="17" s="1"/>
  <c r="AH58" i="17"/>
  <c r="AQ59" i="17"/>
  <c r="AQ30" i="17"/>
  <c r="AI28" i="17"/>
  <c r="AI32" i="17"/>
  <c r="AJ58" i="17"/>
  <c r="AJ37" i="17"/>
  <c r="AQ58" i="17"/>
  <c r="AZ28" i="17"/>
  <c r="BA28" i="17" s="1"/>
  <c r="AV28" i="17"/>
  <c r="AZ32" i="17"/>
  <c r="AV32" i="17"/>
  <c r="K35" i="17"/>
  <c r="AZ35" i="17" s="1"/>
  <c r="BA35" i="17" s="1"/>
  <c r="AH35" i="17"/>
  <c r="AW35" i="17" s="1"/>
  <c r="AQ36" i="17"/>
  <c r="AJ36" i="17"/>
  <c r="AI38" i="17"/>
  <c r="AQ40" i="17"/>
  <c r="AJ40" i="17"/>
  <c r="AH42" i="17"/>
  <c r="AI42" i="17"/>
  <c r="AQ43" i="17"/>
  <c r="AJ43" i="17"/>
  <c r="AJ51" i="17"/>
  <c r="AI51" i="17"/>
  <c r="AQ52" i="17"/>
  <c r="AJ52" i="17"/>
  <c r="AI57" i="17"/>
  <c r="AI59" i="17"/>
  <c r="AI30" i="17"/>
  <c r="K31" i="17"/>
  <c r="AZ31" i="17" s="1"/>
  <c r="AH31" i="17"/>
  <c r="AI29" i="17"/>
  <c r="AJ31" i="17"/>
  <c r="AY74" i="17"/>
  <c r="BE74" i="17" s="1"/>
  <c r="BG74" i="17" s="1"/>
  <c r="BB57" i="17"/>
  <c r="AJ56" i="17"/>
  <c r="AQ56" i="17"/>
  <c r="AQ51" i="17"/>
  <c r="AH51" i="17"/>
  <c r="AJ42" i="17"/>
  <c r="AQ42" i="17"/>
  <c r="AI41" i="17"/>
  <c r="AJ41" i="17"/>
  <c r="K41" i="17"/>
  <c r="AZ41" i="17" s="1"/>
  <c r="BA41" i="17" s="1"/>
  <c r="BB35" i="17"/>
  <c r="AJ32" i="17"/>
  <c r="AQ32" i="17"/>
  <c r="BB28" i="17"/>
  <c r="AQ28" i="17"/>
  <c r="AH28" i="17"/>
  <c r="AW28" i="17" s="1"/>
  <c r="AJ29" i="17"/>
  <c r="AQ29" i="17"/>
  <c r="AW64" i="17" l="1"/>
  <c r="BF64" i="17" s="1"/>
  <c r="AR54" i="17"/>
  <c r="AY63" i="17"/>
  <c r="AW51" i="17"/>
  <c r="BF51" i="17" s="1"/>
  <c r="AW31" i="17"/>
  <c r="AW47" i="17"/>
  <c r="AY47" i="17" s="1"/>
  <c r="BA50" i="17"/>
  <c r="BB50" i="17"/>
  <c r="AW42" i="17"/>
  <c r="BA31" i="17"/>
  <c r="BB31" i="17" s="1"/>
  <c r="BA32" i="17"/>
  <c r="BB32" i="17" s="1"/>
  <c r="AW37" i="17"/>
  <c r="BF37" i="17" s="1"/>
  <c r="BA29" i="17"/>
  <c r="BB29" i="17" s="1"/>
  <c r="AW33" i="17"/>
  <c r="BF33" i="17" s="1"/>
  <c r="BA56" i="17"/>
  <c r="BB56" i="17" s="1"/>
  <c r="BA30" i="17"/>
  <c r="BB30" i="17" s="1"/>
  <c r="BA36" i="17"/>
  <c r="BB36" i="17" s="1"/>
  <c r="AW60" i="17"/>
  <c r="BF60" i="17" s="1"/>
  <c r="AW57" i="17"/>
  <c r="BB63" i="17"/>
  <c r="BA37" i="17"/>
  <c r="BB37" i="17" s="1"/>
  <c r="BA51" i="17"/>
  <c r="BB51" i="17" s="1"/>
  <c r="AW59" i="17"/>
  <c r="AW36" i="17"/>
  <c r="AY36" i="17" s="1"/>
  <c r="AW39" i="17"/>
  <c r="AW34" i="17"/>
  <c r="BF34" i="17" s="1"/>
  <c r="BF59" i="17"/>
  <c r="AW58" i="17"/>
  <c r="BF58" i="17" s="1"/>
  <c r="AW56" i="17"/>
  <c r="AW41" i="17"/>
  <c r="BA43" i="17"/>
  <c r="BB43" i="17" s="1"/>
  <c r="AW46" i="17"/>
  <c r="BF46" i="17" s="1"/>
  <c r="BA46" i="17"/>
  <c r="BB46" i="17" s="1"/>
  <c r="AR53" i="17"/>
  <c r="AW53" i="17"/>
  <c r="BF53" i="17" s="1"/>
  <c r="AW32" i="17"/>
  <c r="BF32" i="17" s="1"/>
  <c r="BA42" i="17"/>
  <c r="BB42" i="17" s="1"/>
  <c r="BA47" i="17"/>
  <c r="BB47" i="17" s="1"/>
  <c r="AW43" i="17"/>
  <c r="BF43" i="17" s="1"/>
  <c r="AW44" i="17"/>
  <c r="BF44" i="17" s="1"/>
  <c r="AW61" i="17"/>
  <c r="BF61" i="17" s="1"/>
  <c r="AW45" i="17"/>
  <c r="BF45" i="17" s="1"/>
  <c r="AW62" i="17"/>
  <c r="BF62" i="17" s="1"/>
  <c r="AW38" i="17"/>
  <c r="BF38" i="17" s="1"/>
  <c r="AW52" i="17"/>
  <c r="AY52" i="17" s="1"/>
  <c r="BB64" i="17"/>
  <c r="BF57" i="17"/>
  <c r="BA58" i="17"/>
  <c r="BB58" i="17" s="1"/>
  <c r="AW30" i="17"/>
  <c r="BA40" i="17"/>
  <c r="BB40" i="17" s="1"/>
  <c r="BA53" i="17"/>
  <c r="BB53" i="17" s="1"/>
  <c r="AW29" i="17"/>
  <c r="AW40" i="17"/>
  <c r="BF40" i="17" s="1"/>
  <c r="AW49" i="17"/>
  <c r="AY49" i="17" s="1"/>
  <c r="BE49" i="17" s="1"/>
  <c r="BA62" i="17"/>
  <c r="BB62" i="17" s="1"/>
  <c r="AW55" i="17"/>
  <c r="BA38" i="17"/>
  <c r="BB38" i="17" s="1"/>
  <c r="AW54" i="17"/>
  <c r="BF54" i="17" s="1"/>
  <c r="AW50" i="17"/>
  <c r="BF50" i="17" s="1"/>
  <c r="BA52" i="17"/>
  <c r="BB52" i="17" s="1"/>
  <c r="BC12" i="26"/>
  <c r="BE63" i="17"/>
  <c r="BG63" i="17" s="1"/>
  <c r="AY77" i="17"/>
  <c r="BE77" i="17" s="1"/>
  <c r="BG77" i="17" s="1"/>
  <c r="AR43" i="17"/>
  <c r="AR61" i="17"/>
  <c r="AR44" i="17"/>
  <c r="AR45" i="17"/>
  <c r="AR48" i="17"/>
  <c r="BB49" i="17"/>
  <c r="AY62" i="17"/>
  <c r="BE62" i="17" s="1"/>
  <c r="AR55" i="17"/>
  <c r="AR60" i="17"/>
  <c r="AR47" i="17"/>
  <c r="BF39" i="17"/>
  <c r="BF48" i="17"/>
  <c r="BB39" i="17"/>
  <c r="AY50" i="17"/>
  <c r="BE50" i="17" s="1"/>
  <c r="BG50" i="17" s="1"/>
  <c r="BB60" i="17"/>
  <c r="AR40" i="17"/>
  <c r="AR42" i="17"/>
  <c r="BB55" i="17"/>
  <c r="BF55" i="17"/>
  <c r="BF30" i="17"/>
  <c r="AR35" i="17"/>
  <c r="BF35" i="17"/>
  <c r="AR59" i="17"/>
  <c r="AR38" i="17"/>
  <c r="AR31" i="17"/>
  <c r="AR52" i="17"/>
  <c r="BB48" i="17"/>
  <c r="BF52" i="17"/>
  <c r="AR57" i="17"/>
  <c r="AR37" i="17"/>
  <c r="BF29" i="17"/>
  <c r="AR58" i="17"/>
  <c r="AR30" i="17"/>
  <c r="AR46" i="17"/>
  <c r="BB44" i="17"/>
  <c r="AY39" i="17"/>
  <c r="BE39" i="17" s="1"/>
  <c r="AY57" i="17"/>
  <c r="BE57" i="17" s="1"/>
  <c r="BG57" i="17" s="1"/>
  <c r="BF31" i="17"/>
  <c r="AR32" i="17"/>
  <c r="BB59" i="17"/>
  <c r="AR36" i="17"/>
  <c r="AR41" i="17"/>
  <c r="BB33" i="17"/>
  <c r="AR34" i="17"/>
  <c r="BB34" i="17"/>
  <c r="AR33" i="17"/>
  <c r="AR29" i="17"/>
  <c r="AY32" i="17"/>
  <c r="AR56" i="17"/>
  <c r="BF56" i="17"/>
  <c r="AY59" i="17"/>
  <c r="AR51" i="17"/>
  <c r="AY43" i="17"/>
  <c r="BF42" i="17"/>
  <c r="BF41" i="17"/>
  <c r="BB41" i="17"/>
  <c r="AY40" i="17"/>
  <c r="BF28" i="17"/>
  <c r="AR28" i="17"/>
  <c r="AY64" i="17" l="1"/>
  <c r="BE64" i="17" s="1"/>
  <c r="BG64" i="17" s="1"/>
  <c r="AY38" i="17"/>
  <c r="BE38" i="17" s="1"/>
  <c r="BG38" i="17" s="1"/>
  <c r="AY44" i="17"/>
  <c r="BF47" i="17"/>
  <c r="BF49" i="17"/>
  <c r="BG49" i="17" s="1"/>
  <c r="BG62" i="17"/>
  <c r="BG39" i="17"/>
  <c r="BF12" i="26"/>
  <c r="BE12" i="26"/>
  <c r="BD12" i="26"/>
  <c r="BE32" i="17"/>
  <c r="BG32" i="17" s="1"/>
  <c r="AY61" i="17"/>
  <c r="BE61" i="17" s="1"/>
  <c r="BG61" i="17" s="1"/>
  <c r="AY37" i="17"/>
  <c r="BE37" i="17" s="1"/>
  <c r="BG37" i="17" s="1"/>
  <c r="BE40" i="17"/>
  <c r="BG40" i="17" s="1"/>
  <c r="BE43" i="17"/>
  <c r="BG43" i="17" s="1"/>
  <c r="AY30" i="17"/>
  <c r="BE30" i="17" s="1"/>
  <c r="BG30" i="17" s="1"/>
  <c r="BF36" i="17"/>
  <c r="AY53" i="17"/>
  <c r="BE53" i="17" s="1"/>
  <c r="BG53" i="17" s="1"/>
  <c r="BE47" i="17"/>
  <c r="AY48" i="17"/>
  <c r="BE48" i="17" s="1"/>
  <c r="BG48" i="17" s="1"/>
  <c r="AY54" i="17"/>
  <c r="BE54" i="17" s="1"/>
  <c r="BG54" i="17" s="1"/>
  <c r="AY51" i="17"/>
  <c r="BE51" i="17" s="1"/>
  <c r="BG51" i="17" s="1"/>
  <c r="AY56" i="17"/>
  <c r="BE56" i="17" s="1"/>
  <c r="BG56" i="17" s="1"/>
  <c r="AY58" i="17"/>
  <c r="BE58" i="17" s="1"/>
  <c r="BG58" i="17" s="1"/>
  <c r="AY29" i="17"/>
  <c r="BE29" i="17" s="1"/>
  <c r="BG29" i="17" s="1"/>
  <c r="BE36" i="17"/>
  <c r="BG36" i="17" s="1"/>
  <c r="AY55" i="17"/>
  <c r="BE55" i="17" s="1"/>
  <c r="BG55" i="17" s="1"/>
  <c r="AY60" i="17"/>
  <c r="BE60" i="17" s="1"/>
  <c r="BG60" i="17" s="1"/>
  <c r="BE52" i="17"/>
  <c r="BE59" i="17"/>
  <c r="BG59" i="17" s="1"/>
  <c r="AY34" i="17"/>
  <c r="BE34" i="17" s="1"/>
  <c r="BG34" i="17" s="1"/>
  <c r="AY35" i="17"/>
  <c r="BE35" i="17" s="1"/>
  <c r="BG35" i="17" s="1"/>
  <c r="BE44" i="17"/>
  <c r="BG44" i="17" s="1"/>
  <c r="AY45" i="17"/>
  <c r="BE45" i="17" s="1"/>
  <c r="BG45" i="17" s="1"/>
  <c r="AY46" i="17"/>
  <c r="BE46" i="17" s="1"/>
  <c r="BG46" i="17" s="1"/>
  <c r="AY28" i="17"/>
  <c r="BE28" i="17" s="1"/>
  <c r="BG28" i="17" s="1"/>
  <c r="AY31" i="17"/>
  <c r="BE31" i="17" s="1"/>
  <c r="BG31" i="17" s="1"/>
  <c r="AY33" i="17"/>
  <c r="BE33" i="17" s="1"/>
  <c r="BG33" i="17" s="1"/>
  <c r="AY42" i="17"/>
  <c r="BE42" i="17" s="1"/>
  <c r="BG42" i="17" s="1"/>
  <c r="AY41" i="17"/>
  <c r="BE41" i="17" s="1"/>
  <c r="BG41" i="17" s="1"/>
  <c r="BG47" i="17" l="1"/>
  <c r="BG52" i="17"/>
  <c r="AH10" i="28"/>
  <c r="AB10" i="28"/>
  <c r="U10" i="28"/>
  <c r="L10" i="28"/>
  <c r="M10" i="28" s="1"/>
  <c r="AH9" i="28"/>
  <c r="AB9" i="28"/>
  <c r="U9" i="28"/>
  <c r="L9" i="28"/>
  <c r="M9" i="28" s="1"/>
  <c r="AI10" i="28" l="1"/>
  <c r="AS10" i="28"/>
  <c r="AT10" i="28" s="1"/>
  <c r="AY10" i="28" s="1"/>
  <c r="AI9" i="28"/>
  <c r="AS9" i="28"/>
  <c r="AT9" i="28" s="1"/>
  <c r="AX9" i="28"/>
  <c r="AY9" i="28" s="1"/>
  <c r="BC9" i="28" l="1"/>
  <c r="BF9" i="28" s="1"/>
  <c r="BC10" i="28"/>
  <c r="BD10" i="28" s="1"/>
  <c r="BD9" i="28"/>
  <c r="BE9" i="28"/>
  <c r="BF10" i="28"/>
  <c r="BE10" i="28"/>
  <c r="Y65" i="17" l="1"/>
  <c r="X65" i="17"/>
  <c r="W65" i="17"/>
  <c r="V65" i="17"/>
  <c r="BB65" i="17" l="1"/>
  <c r="BA65" i="17"/>
  <c r="AZ65" i="17"/>
  <c r="AW65" i="17"/>
  <c r="BF65" i="17"/>
  <c r="AX11" i="28"/>
  <c r="AH8" i="28"/>
  <c r="AB8" i="28"/>
  <c r="U8" i="28"/>
  <c r="AI8" i="28" s="1"/>
  <c r="L8" i="28"/>
  <c r="M8" i="28" s="1"/>
  <c r="AY65" i="17" l="1"/>
  <c r="AS8" i="28"/>
  <c r="AT8" i="28" s="1"/>
  <c r="AY8" i="28" s="1"/>
  <c r="BE65" i="17" l="1"/>
  <c r="BG65" i="17" s="1"/>
  <c r="AY11" i="28"/>
  <c r="O65" i="17"/>
  <c r="P65" i="17"/>
  <c r="Q65" i="17"/>
  <c r="R65" i="17"/>
  <c r="T65" i="17"/>
  <c r="U65" i="17"/>
  <c r="Z65" i="17"/>
  <c r="AB65" i="17"/>
  <c r="AC65" i="17"/>
  <c r="AD65" i="17"/>
  <c r="AE65" i="17"/>
  <c r="AF65" i="17"/>
  <c r="AK65" i="17"/>
  <c r="AL65" i="17"/>
  <c r="AM65" i="17"/>
  <c r="AN65" i="17"/>
  <c r="AO65" i="17"/>
  <c r="AP65" i="17"/>
  <c r="AS65" i="17"/>
  <c r="AT65" i="17"/>
  <c r="AU65" i="17"/>
  <c r="AX65" i="17"/>
  <c r="BD65" i="17"/>
  <c r="N65" i="17"/>
  <c r="BC8" i="28" l="1"/>
  <c r="BF8" i="28" l="1"/>
  <c r="BE8" i="28"/>
  <c r="BD8" i="28"/>
  <c r="K11" i="28" l="1"/>
  <c r="K10" i="27"/>
  <c r="AH9" i="27"/>
  <c r="AB9" i="27"/>
  <c r="U9" i="27"/>
  <c r="L9" i="27"/>
  <c r="M9" i="27" s="1"/>
  <c r="AH7" i="27"/>
  <c r="AL7" i="27" s="1"/>
  <c r="AB7" i="27"/>
  <c r="U7" i="27"/>
  <c r="AJ7" i="27" s="1"/>
  <c r="K13" i="26"/>
  <c r="AH11" i="26"/>
  <c r="AB11" i="26"/>
  <c r="U11" i="26"/>
  <c r="L11" i="26"/>
  <c r="M11" i="26" s="1"/>
  <c r="AH10" i="26"/>
  <c r="AB10" i="26"/>
  <c r="U10" i="26"/>
  <c r="M10" i="26"/>
  <c r="L10" i="26"/>
  <c r="AH9" i="26"/>
  <c r="AL9" i="26" s="1"/>
  <c r="AB9" i="26"/>
  <c r="U9" i="26"/>
  <c r="AS9" i="27" l="1"/>
  <c r="AI10" i="26"/>
  <c r="AS10" i="26"/>
  <c r="AT10" i="26" s="1"/>
  <c r="AS11" i="26"/>
  <c r="AT11" i="26" s="1"/>
  <c r="BC11" i="26" s="1"/>
  <c r="BC11" i="28"/>
  <c r="M11" i="28"/>
  <c r="AB11" i="28"/>
  <c r="U11" i="28"/>
  <c r="L11" i="28"/>
  <c r="AH11" i="28"/>
  <c r="AI9" i="27"/>
  <c r="AI10" i="27" s="1"/>
  <c r="M10" i="27"/>
  <c r="AB10" i="27"/>
  <c r="AK7" i="27"/>
  <c r="U10" i="27"/>
  <c r="L10" i="27"/>
  <c r="AT9" i="27"/>
  <c r="AH10" i="27"/>
  <c r="AJ9" i="26"/>
  <c r="AB13" i="26"/>
  <c r="AH13" i="26"/>
  <c r="AI11" i="26"/>
  <c r="M13" i="26"/>
  <c r="U13" i="26"/>
  <c r="AK9" i="26"/>
  <c r="L13" i="26"/>
  <c r="AT9" i="26" l="1"/>
  <c r="AI13" i="26"/>
  <c r="AI11" i="28"/>
  <c r="AS11" i="28"/>
  <c r="AT11" i="28" s="1"/>
  <c r="AT7" i="27"/>
  <c r="BC9" i="27"/>
  <c r="AS10" i="27"/>
  <c r="AT10" i="27" s="1"/>
  <c r="BE11" i="26"/>
  <c r="BF11" i="26"/>
  <c r="BD11" i="26"/>
  <c r="AS13" i="26"/>
  <c r="AT13" i="26" s="1"/>
  <c r="BC10" i="26"/>
  <c r="AY10" i="27" l="1"/>
  <c r="BC10" i="27"/>
  <c r="BF9" i="27"/>
  <c r="BF10" i="27" s="1"/>
  <c r="BD9" i="27"/>
  <c r="BD10" i="27" s="1"/>
  <c r="BE9" i="27"/>
  <c r="BE10" i="27" s="1"/>
  <c r="AY13" i="26"/>
  <c r="BC13" i="26"/>
  <c r="BF13" i="26" s="1"/>
  <c r="BD10" i="26"/>
  <c r="BF10" i="26"/>
  <c r="BE10" i="26"/>
  <c r="BE13" i="26" l="1"/>
  <c r="BD13" i="26"/>
  <c r="J69" i="17"/>
  <c r="J73" i="17"/>
  <c r="AV73" i="17" s="1"/>
  <c r="AW73" i="17" s="1"/>
  <c r="AV69" i="17" l="1"/>
  <c r="BF73" i="17"/>
  <c r="AY69" i="17" l="1"/>
  <c r="BC69" i="17" s="1"/>
  <c r="BF69" i="17" s="1"/>
  <c r="BE69" i="17"/>
  <c r="BF11" i="28"/>
  <c r="BE11" i="28"/>
  <c r="BD11" i="28"/>
  <c r="AY73" i="17"/>
  <c r="BE73" i="17" s="1"/>
  <c r="BG73" i="17" s="1"/>
  <c r="BG69" i="17" l="1"/>
  <c r="AG65" i="17"/>
  <c r="S65" i="17" l="1"/>
  <c r="AI65" i="17"/>
  <c r="AJ65" i="17"/>
  <c r="AH65" i="17" l="1"/>
  <c r="J75" i="17" l="1"/>
  <c r="AV75" i="17" s="1"/>
  <c r="J76" i="17"/>
  <c r="AV76" i="17" s="1"/>
  <c r="AW76" i="17" s="1"/>
  <c r="AY75" i="17" l="1"/>
  <c r="BE75" i="17" s="1"/>
  <c r="BF76" i="17"/>
  <c r="BC75" i="17" l="1"/>
  <c r="AY76" i="17"/>
  <c r="BE76" i="17" s="1"/>
  <c r="BG76" i="17" s="1"/>
  <c r="BF75" i="17" l="1"/>
  <c r="BG75" i="17" s="1"/>
  <c r="BC78" i="17"/>
  <c r="J72" i="17"/>
  <c r="AV72" i="17" s="1"/>
  <c r="AW72" i="17" s="1"/>
  <c r="J67" i="17"/>
  <c r="J68" i="17"/>
  <c r="AV68" i="17" s="1"/>
  <c r="AY68" i="17" l="1"/>
  <c r="BC68" i="17" s="1"/>
  <c r="BF68" i="17" s="1"/>
  <c r="BF72" i="17"/>
  <c r="AV67" i="17"/>
  <c r="AY67" i="17" l="1"/>
  <c r="BC67" i="17" s="1"/>
  <c r="AR65" i="17"/>
  <c r="AQ65" i="17"/>
  <c r="AY72" i="17"/>
  <c r="BE72" i="17" s="1"/>
  <c r="BG72" i="17" s="1"/>
  <c r="BF67" i="17" l="1"/>
  <c r="BE68" i="17"/>
  <c r="BG68" i="17" s="1"/>
  <c r="BE67" i="17"/>
  <c r="BG67" i="17" s="1"/>
  <c r="AW78" i="17" l="1"/>
  <c r="AX71" i="17"/>
  <c r="J70" i="17"/>
  <c r="AV70" i="17" s="1"/>
  <c r="J65" i="17"/>
  <c r="AM23" i="17"/>
  <c r="AM22" i="17"/>
  <c r="AM21" i="17"/>
  <c r="AM19" i="17"/>
  <c r="AM17" i="17"/>
  <c r="AM16" i="17"/>
  <c r="AM12" i="17"/>
  <c r="AM11" i="17"/>
  <c r="AL9" i="17"/>
  <c r="AJ9" i="17"/>
  <c r="AM8" i="17"/>
  <c r="AM6" i="17"/>
  <c r="AM2" i="17"/>
  <c r="AY70" i="17" l="1"/>
  <c r="BC70" i="17" s="1"/>
  <c r="BE70" i="17"/>
  <c r="AM9" i="17"/>
  <c r="BF70" i="17" l="1"/>
  <c r="BF71" i="17" s="1"/>
  <c r="BC71" i="17"/>
  <c r="AY71" i="17"/>
  <c r="AV65" i="17"/>
  <c r="BF78" i="17"/>
  <c r="BG70" i="17" l="1"/>
  <c r="BG71" i="17" s="1"/>
  <c r="AY78" i="17"/>
  <c r="BG78" i="17"/>
  <c r="BE78" i="17"/>
  <c r="BE71" i="17" l="1"/>
</calcChain>
</file>

<file path=xl/sharedStrings.xml><?xml version="1.0" encoding="utf-8"?>
<sst xmlns="http://schemas.openxmlformats.org/spreadsheetml/2006/main" count="843" uniqueCount="220">
  <si>
    <t>УТВЕРЖДАЮ</t>
  </si>
  <si>
    <t xml:space="preserve">Приложение 1 </t>
  </si>
  <si>
    <t>№п/п</t>
  </si>
  <si>
    <t>1-111</t>
  </si>
  <si>
    <t>1У-У111</t>
  </si>
  <si>
    <t>1Х-Х/Х1</t>
  </si>
  <si>
    <t>итого</t>
  </si>
  <si>
    <t>1.</t>
  </si>
  <si>
    <t>Число классов на 1 сентября</t>
  </si>
  <si>
    <t>платы работников просвещения</t>
  </si>
  <si>
    <t>2.</t>
  </si>
  <si>
    <t>Число классов,компл. на 1 сентября</t>
  </si>
  <si>
    <t>ТАРИФИКАЦИОННЫЙ СПИСОК</t>
  </si>
  <si>
    <t>Число учащихся на 1 сентября</t>
  </si>
  <si>
    <t xml:space="preserve">                    Учителей и других работников _________________________</t>
  </si>
  <si>
    <t>сш № 18</t>
  </si>
  <si>
    <t>3.</t>
  </si>
  <si>
    <t>Общее число преподавательской работы</t>
  </si>
  <si>
    <t>по тарификации, в том числе:</t>
  </si>
  <si>
    <t>на 1</t>
  </si>
  <si>
    <t>а)</t>
  </si>
  <si>
    <t>число час. по учебн.плану</t>
  </si>
  <si>
    <t>б)</t>
  </si>
  <si>
    <t xml:space="preserve">число дополнительных часов </t>
  </si>
  <si>
    <t xml:space="preserve">                           </t>
  </si>
  <si>
    <t>Адрес школы _________________________</t>
  </si>
  <si>
    <t>с.Звездное</t>
  </si>
  <si>
    <t>Всего</t>
  </si>
  <si>
    <t xml:space="preserve">         ______________________</t>
  </si>
  <si>
    <t>из них:</t>
  </si>
  <si>
    <t>эконом.и экологоия</t>
  </si>
  <si>
    <t>мат</t>
  </si>
  <si>
    <t>валеол.</t>
  </si>
  <si>
    <t>обж</t>
  </si>
  <si>
    <t>каз</t>
  </si>
  <si>
    <t>фак</t>
  </si>
  <si>
    <t>ивт</t>
  </si>
  <si>
    <t>кр</t>
  </si>
  <si>
    <t>рус</t>
  </si>
  <si>
    <t>№ п/п</t>
  </si>
  <si>
    <t>Ф.И.О.</t>
  </si>
  <si>
    <t>Занимаемая должность преподав. Предметник</t>
  </si>
  <si>
    <t>Образование (наименов.учеб.завед.)</t>
  </si>
  <si>
    <t>Педстаж</t>
  </si>
  <si>
    <t>ставка</t>
  </si>
  <si>
    <t>Ставка в месяц с учетом повыш.</t>
  </si>
  <si>
    <t>25% каз,рус</t>
  </si>
  <si>
    <t>допл.за катег.р/б</t>
  </si>
  <si>
    <t>Число часов в неделю</t>
  </si>
  <si>
    <t>Зар.плата в месяц</t>
  </si>
  <si>
    <t>Доплата за проверку тетрадей</t>
  </si>
  <si>
    <t>Итого педаг.з/пл. в месяц</t>
  </si>
  <si>
    <t>Дополнительная оплата</t>
  </si>
  <si>
    <t>Оклад учител. Воспит. И адм. Персон</t>
  </si>
  <si>
    <t>Прочие надбавки</t>
  </si>
  <si>
    <t>1-4 кл</t>
  </si>
  <si>
    <t>5-9 кл</t>
  </si>
  <si>
    <t>10-11 кл</t>
  </si>
  <si>
    <t>Классн. руков-во</t>
  </si>
  <si>
    <t>Зав. кабинетом</t>
  </si>
  <si>
    <t>руков. кружк. Ком. Внекл. Работ</t>
  </si>
  <si>
    <t>час</t>
  </si>
  <si>
    <t>сумма</t>
  </si>
  <si>
    <t>Галушкин А.Н.</t>
  </si>
  <si>
    <t>ист. ОГП,</t>
  </si>
  <si>
    <t>в/о</t>
  </si>
  <si>
    <t>Гельдыева Э.А.</t>
  </si>
  <si>
    <t>нач.кл</t>
  </si>
  <si>
    <t>рус.яз.,лит</t>
  </si>
  <si>
    <t xml:space="preserve">в/о </t>
  </si>
  <si>
    <t>Кожахметова М.С.</t>
  </si>
  <si>
    <t>м/сест.0,5</t>
  </si>
  <si>
    <t>библ.0,5</t>
  </si>
  <si>
    <t>с/сп</t>
  </si>
  <si>
    <t>Нокин А.К.</t>
  </si>
  <si>
    <t xml:space="preserve"> Ф-ра</t>
  </si>
  <si>
    <t>нвп</t>
  </si>
  <si>
    <t>Омарова Д.Б.</t>
  </si>
  <si>
    <t>каз.яз,лит</t>
  </si>
  <si>
    <t>ф-ра</t>
  </si>
  <si>
    <t>перевод. 0,5</t>
  </si>
  <si>
    <t>средн.</t>
  </si>
  <si>
    <t>Жамалова Н.А.</t>
  </si>
  <si>
    <t>вож.0,5</t>
  </si>
  <si>
    <t>вакансия</t>
  </si>
  <si>
    <t>Мейрамова С.О.</t>
  </si>
  <si>
    <t>Омаров Е.А.</t>
  </si>
  <si>
    <t>завх 1</t>
  </si>
  <si>
    <t xml:space="preserve">в/о  </t>
  </si>
  <si>
    <t>муз,рук 0,25</t>
  </si>
  <si>
    <t>каз.яз 0,25</t>
  </si>
  <si>
    <t>сред</t>
  </si>
  <si>
    <t>пом.восп.1,3</t>
  </si>
  <si>
    <t>ин.яз</t>
  </si>
  <si>
    <t xml:space="preserve">  руководитель отдела образования</t>
  </si>
  <si>
    <t xml:space="preserve">                                         Инструкции о порядке исчисления заработной</t>
  </si>
  <si>
    <t>30% за учеб.</t>
  </si>
  <si>
    <t>Гельдыева З.Д.</t>
  </si>
  <si>
    <t xml:space="preserve">категория </t>
  </si>
  <si>
    <t>Блок</t>
  </si>
  <si>
    <t>выс</t>
  </si>
  <si>
    <t xml:space="preserve">в/о, </t>
  </si>
  <si>
    <t xml:space="preserve">в/о,  </t>
  </si>
  <si>
    <t>В</t>
  </si>
  <si>
    <t>А</t>
  </si>
  <si>
    <t>С</t>
  </si>
  <si>
    <t>D</t>
  </si>
  <si>
    <t>1,3,1</t>
  </si>
  <si>
    <t>нач. кл.,</t>
  </si>
  <si>
    <t>ср/сп</t>
  </si>
  <si>
    <t>делопроиз0,5</t>
  </si>
  <si>
    <t>пред</t>
  </si>
  <si>
    <t>Строителей 5</t>
  </si>
  <si>
    <t xml:space="preserve">самоп., </t>
  </si>
  <si>
    <t>худ.труд</t>
  </si>
  <si>
    <t>предшкола 1</t>
  </si>
  <si>
    <t>Экономист</t>
  </si>
  <si>
    <t>иссл</t>
  </si>
  <si>
    <t>матем</t>
  </si>
  <si>
    <t>Итого</t>
  </si>
  <si>
    <t>Кудайбергенова М.И.</t>
  </si>
  <si>
    <t xml:space="preserve">муз. </t>
  </si>
  <si>
    <t xml:space="preserve">нач. кл </t>
  </si>
  <si>
    <t>Кудайбергенов Р.К.</t>
  </si>
  <si>
    <t>Бутеева Р.К.</t>
  </si>
  <si>
    <t>сред-спец</t>
  </si>
  <si>
    <t>эксперт</t>
  </si>
  <si>
    <t>каз.яз,лит, фак</t>
  </si>
  <si>
    <t>Дмитриева О.</t>
  </si>
  <si>
    <t xml:space="preserve"> </t>
  </si>
  <si>
    <t>зам. увр 0,5</t>
  </si>
  <si>
    <t>физика</t>
  </si>
  <si>
    <t>модер</t>
  </si>
  <si>
    <t>выс/иссл</t>
  </si>
  <si>
    <t>восп.1,0</t>
  </si>
  <si>
    <t>МБ</t>
  </si>
  <si>
    <t>РБ</t>
  </si>
  <si>
    <t>Всего зп в месяц</t>
  </si>
  <si>
    <t>10% доплата</t>
  </si>
  <si>
    <t>ИТОГО</t>
  </si>
  <si>
    <t xml:space="preserve">Акмаганбетова А.И. </t>
  </si>
  <si>
    <t>круж/фак</t>
  </si>
  <si>
    <t>доплата прош.перепод.30% обновл.</t>
  </si>
  <si>
    <t>ОБНОВЛЕНКА</t>
  </si>
  <si>
    <t>итого обновленка</t>
  </si>
  <si>
    <t>Байтасова Н.Е.</t>
  </si>
  <si>
    <t>география</t>
  </si>
  <si>
    <t>Дедуренко Т.В.</t>
  </si>
  <si>
    <t>Калиновская Ж.Г.</t>
  </si>
  <si>
    <t>химия, биология</t>
  </si>
  <si>
    <t>Кожахметова Е.Г.</t>
  </si>
  <si>
    <t>нвп кр</t>
  </si>
  <si>
    <t>зам.ВР 0,5</t>
  </si>
  <si>
    <t>выс,иссл</t>
  </si>
  <si>
    <t>Основы предприм</t>
  </si>
  <si>
    <t>восп.1,25</t>
  </si>
  <si>
    <t>дефектолог 0,25</t>
  </si>
  <si>
    <t>Лялькова А.Н.</t>
  </si>
  <si>
    <t>и.о.Гл.бухгалтера</t>
  </si>
  <si>
    <t>Повышение оплаты труда учителям</t>
  </si>
  <si>
    <t>Педагог -исследователь 40% доплата</t>
  </si>
  <si>
    <t>№ школы</t>
  </si>
  <si>
    <t>ставка с учетом повышения</t>
  </si>
  <si>
    <t>доплата прош.перепод.40%</t>
  </si>
  <si>
    <t>20% за учеб.</t>
  </si>
  <si>
    <t>комп.шт</t>
  </si>
  <si>
    <t>Всего з/пл. в месяц РБ</t>
  </si>
  <si>
    <t>дата получения сертиф.</t>
  </si>
  <si>
    <t>категория</t>
  </si>
  <si>
    <t>сш№18</t>
  </si>
  <si>
    <t>Педагог -эксперт 35% доплата</t>
  </si>
  <si>
    <t>доплата прош.перепод.35%</t>
  </si>
  <si>
    <t>Педагог - модератор 30% доплата</t>
  </si>
  <si>
    <t>доплата прош.перепод.30%</t>
  </si>
  <si>
    <t>КГУ «Общеобразовательная школа №18» отдела образования Осакаровского района управления образования Карагандинской области.</t>
  </si>
  <si>
    <t>псих 1,0</t>
  </si>
  <si>
    <t xml:space="preserve">ист. </t>
  </si>
  <si>
    <t xml:space="preserve">Ахау Бахытгул </t>
  </si>
  <si>
    <t>Панова Н.А.</t>
  </si>
  <si>
    <t>среднее/курсы</t>
  </si>
  <si>
    <t>Андреева С.А.</t>
  </si>
  <si>
    <t>1-3 к</t>
  </si>
  <si>
    <t>2-3р</t>
  </si>
  <si>
    <t>4р</t>
  </si>
  <si>
    <t>5-6р</t>
  </si>
  <si>
    <t>Сакенов Б.Ж.</t>
  </si>
  <si>
    <t>Кенжебаева З.Т.</t>
  </si>
  <si>
    <t>и.о. директора 1</t>
  </si>
  <si>
    <t xml:space="preserve">ИВТ </t>
  </si>
  <si>
    <t xml:space="preserve">физ-ра </t>
  </si>
  <si>
    <t>биол</t>
  </si>
  <si>
    <t>2 кат</t>
  </si>
  <si>
    <t>математика</t>
  </si>
  <si>
    <t>круж(этика,медиаграм,эмоц.интел)</t>
  </si>
  <si>
    <t>Инклюзия</t>
  </si>
  <si>
    <t>5-8к</t>
  </si>
  <si>
    <t>7к.к.</t>
  </si>
  <si>
    <t>Кашперко Е.И.</t>
  </si>
  <si>
    <t>Гришаева А.В.</t>
  </si>
  <si>
    <t>75% РБ</t>
  </si>
  <si>
    <t>75 % РБ</t>
  </si>
  <si>
    <t>января</t>
  </si>
  <si>
    <t>2022 г</t>
  </si>
  <si>
    <t>75% к обновл</t>
  </si>
  <si>
    <t>23% РБ тех пер</t>
  </si>
  <si>
    <t>и.о.Директора</t>
  </si>
  <si>
    <t>хим,география каз кл</t>
  </si>
  <si>
    <t>Бердигулова Р.А.</t>
  </si>
  <si>
    <t>ОШ №18</t>
  </si>
  <si>
    <t>01.06.2022 №43</t>
  </si>
  <si>
    <t>Койбагарова В.В.</t>
  </si>
  <si>
    <t>псих 0,5</t>
  </si>
  <si>
    <t>Мальнева В.Л.</t>
  </si>
  <si>
    <t>псих.0,5</t>
  </si>
  <si>
    <t>Гл.бухгалтер</t>
  </si>
  <si>
    <t>Диханов К.К</t>
  </si>
  <si>
    <t>Рысбекова А.И.</t>
  </si>
  <si>
    <t>ИВТ</t>
  </si>
  <si>
    <t>01.07.2022 №64</t>
  </si>
  <si>
    <t>Диханов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</si>
</sst>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color rgb="FFFF0000"/>
      <name val="Arial Cyr"/>
      <charset val="204"/>
    </font>
    <font>
      <b/>
      <sz val="14"/>
      <name val="Arial Cyr"/>
      <charset val="204"/>
    </font>
    <font>
      <b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2" fillId="0" borderId="0" xfId="0" applyFont="1"/>
    <xf numFmtId="0" fontId="4" fillId="0" borderId="0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0" borderId="1" xfId="0" applyFont="1" applyFill="1" applyBorder="1"/>
    <xf numFmtId="0" fontId="0" fillId="0" borderId="0" xfId="0" applyFill="1"/>
    <xf numFmtId="0" fontId="2" fillId="0" borderId="1" xfId="0" applyFont="1" applyFill="1" applyBorder="1"/>
    <xf numFmtId="0" fontId="3" fillId="0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/>
    <xf numFmtId="0" fontId="5" fillId="4" borderId="1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/>
    <xf numFmtId="0" fontId="1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Fill="1" applyBorder="1"/>
    <xf numFmtId="0" fontId="0" fillId="0" borderId="1" xfId="0" applyFill="1" applyBorder="1"/>
    <xf numFmtId="0" fontId="6" fillId="0" borderId="1" xfId="0" applyFont="1" applyFill="1" applyBorder="1"/>
    <xf numFmtId="0" fontId="0" fillId="4" borderId="1" xfId="0" applyFill="1" applyBorder="1"/>
    <xf numFmtId="0" fontId="5" fillId="4" borderId="1" xfId="0" applyFont="1" applyFill="1" applyBorder="1" applyAlignment="1">
      <alignment horizontal="center"/>
    </xf>
    <xf numFmtId="164" fontId="8" fillId="0" borderId="1" xfId="0" applyNumberFormat="1" applyFont="1" applyFill="1" applyBorder="1"/>
    <xf numFmtId="0" fontId="5" fillId="4" borderId="1" xfId="0" applyFont="1" applyFill="1" applyBorder="1" applyAlignment="1">
      <alignment horizontal="right"/>
    </xf>
    <xf numFmtId="0" fontId="3" fillId="4" borderId="1" xfId="0" applyFont="1" applyFill="1" applyBorder="1"/>
    <xf numFmtId="164" fontId="5" fillId="4" borderId="1" xfId="0" applyNumberFormat="1" applyFont="1" applyFill="1" applyBorder="1"/>
    <xf numFmtId="0" fontId="0" fillId="4" borderId="0" xfId="0" applyFill="1"/>
    <xf numFmtId="0" fontId="2" fillId="4" borderId="1" xfId="0" applyFont="1" applyFill="1" applyBorder="1"/>
    <xf numFmtId="49" fontId="2" fillId="4" borderId="1" xfId="0" applyNumberFormat="1" applyFont="1" applyFill="1" applyBorder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1" fillId="4" borderId="1" xfId="0" applyFont="1" applyFill="1" applyBorder="1"/>
    <xf numFmtId="0" fontId="8" fillId="0" borderId="0" xfId="0" applyFont="1"/>
    <xf numFmtId="164" fontId="8" fillId="4" borderId="1" xfId="0" applyNumberFormat="1" applyFont="1" applyFill="1" applyBorder="1"/>
    <xf numFmtId="0" fontId="8" fillId="0" borderId="0" xfId="0" applyFont="1" applyFill="1"/>
    <xf numFmtId="0" fontId="9" fillId="3" borderId="1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ill="1" applyBorder="1"/>
    <xf numFmtId="0" fontId="8" fillId="0" borderId="0" xfId="0" applyFont="1" applyFill="1" applyBorder="1"/>
    <xf numFmtId="0" fontId="7" fillId="0" borderId="5" xfId="0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7" fillId="0" borderId="5" xfId="0" applyFont="1" applyFill="1" applyBorder="1" applyAlignment="1">
      <alignment vertical="top" wrapText="1"/>
    </xf>
    <xf numFmtId="16" fontId="3" fillId="0" borderId="1" xfId="0" applyNumberFormat="1" applyFont="1" applyBorder="1"/>
    <xf numFmtId="0" fontId="2" fillId="4" borderId="1" xfId="0" applyFont="1" applyFill="1" applyBorder="1" applyAlignment="1">
      <alignment horizontal="right"/>
    </xf>
    <xf numFmtId="0" fontId="11" fillId="0" borderId="1" xfId="0" applyFont="1" applyBorder="1"/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164" fontId="8" fillId="3" borderId="1" xfId="0" applyNumberFormat="1" applyFont="1" applyFill="1" applyBorder="1"/>
    <xf numFmtId="0" fontId="3" fillId="0" borderId="1" xfId="0" applyFont="1" applyBorder="1" applyAlignment="1">
      <alignment wrapText="1"/>
    </xf>
    <xf numFmtId="0" fontId="5" fillId="4" borderId="1" xfId="0" applyFont="1" applyFill="1" applyBorder="1" applyAlignment="1"/>
    <xf numFmtId="0" fontId="3" fillId="0" borderId="1" xfId="0" applyFont="1" applyBorder="1" applyAlignment="1"/>
    <xf numFmtId="0" fontId="3" fillId="4" borderId="1" xfId="0" applyFont="1" applyFill="1" applyBorder="1" applyAlignment="1"/>
    <xf numFmtId="164" fontId="5" fillId="4" borderId="1" xfId="0" applyNumberFormat="1" applyFont="1" applyFill="1" applyBorder="1" applyAlignment="1"/>
    <xf numFmtId="0" fontId="0" fillId="4" borderId="1" xfId="0" applyFill="1" applyBorder="1" applyAlignment="1"/>
    <xf numFmtId="164" fontId="8" fillId="4" borderId="1" xfId="0" applyNumberFormat="1" applyFont="1" applyFill="1" applyBorder="1" applyAlignment="1"/>
    <xf numFmtId="0" fontId="3" fillId="0" borderId="5" xfId="0" applyFont="1" applyBorder="1" applyAlignment="1">
      <alignment vertical="top" wrapText="1"/>
    </xf>
    <xf numFmtId="0" fontId="8" fillId="3" borderId="1" xfId="0" applyFont="1" applyFill="1" applyBorder="1"/>
    <xf numFmtId="0" fontId="10" fillId="0" borderId="1" xfId="0" applyFont="1" applyBorder="1"/>
    <xf numFmtId="0" fontId="9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10" fillId="0" borderId="0" xfId="0" applyFont="1"/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12" fillId="0" borderId="0" xfId="0" applyFont="1"/>
    <xf numFmtId="0" fontId="0" fillId="0" borderId="3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2" fillId="0" borderId="1" xfId="0" applyFont="1" applyBorder="1"/>
    <xf numFmtId="0" fontId="0" fillId="3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13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164" fontId="0" fillId="0" borderId="1" xfId="0" applyNumberFormat="1" applyFont="1" applyBorder="1"/>
    <xf numFmtId="164" fontId="12" fillId="0" borderId="1" xfId="0" applyNumberFormat="1" applyFont="1" applyBorder="1"/>
    <xf numFmtId="0" fontId="0" fillId="4" borderId="1" xfId="0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4" fontId="0" fillId="4" borderId="1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12" fillId="4" borderId="1" xfId="0" applyFont="1" applyFill="1" applyBorder="1"/>
    <xf numFmtId="164" fontId="0" fillId="4" borderId="1" xfId="0" applyNumberFormat="1" applyFont="1" applyFill="1" applyBorder="1"/>
    <xf numFmtId="164" fontId="12" fillId="4" borderId="1" xfId="0" applyNumberFormat="1" applyFont="1" applyFill="1" applyBorder="1"/>
    <xf numFmtId="0" fontId="0" fillId="4" borderId="0" xfId="0" applyFont="1" applyFill="1"/>
    <xf numFmtId="0" fontId="0" fillId="4" borderId="1" xfId="0" applyFont="1" applyFill="1" applyBorder="1" applyAlignment="1">
      <alignment horizontal="center"/>
    </xf>
    <xf numFmtId="0" fontId="12" fillId="4" borderId="5" xfId="0" applyFont="1" applyFill="1" applyBorder="1"/>
    <xf numFmtId="0" fontId="0" fillId="0" borderId="1" xfId="0" applyFont="1" applyFill="1" applyBorder="1" applyAlignment="1">
      <alignment horizontal="right"/>
    </xf>
    <xf numFmtId="0" fontId="12" fillId="3" borderId="6" xfId="0" applyFont="1" applyFill="1" applyBorder="1" applyAlignment="1">
      <alignment horizontal="right"/>
    </xf>
    <xf numFmtId="0" fontId="12" fillId="3" borderId="7" xfId="0" applyFont="1" applyFill="1" applyBorder="1" applyAlignment="1">
      <alignment horizontal="right"/>
    </xf>
    <xf numFmtId="0" fontId="12" fillId="3" borderId="7" xfId="0" applyFont="1" applyFill="1" applyBorder="1" applyAlignment="1">
      <alignment horizontal="center"/>
    </xf>
    <xf numFmtId="0" fontId="12" fillId="3" borderId="7" xfId="0" applyFont="1" applyFill="1" applyBorder="1"/>
    <xf numFmtId="0" fontId="12" fillId="3" borderId="7" xfId="0" applyFont="1" applyFill="1" applyBorder="1" applyAlignment="1">
      <alignment horizontal="left"/>
    </xf>
    <xf numFmtId="0" fontId="12" fillId="3" borderId="7" xfId="0" applyFont="1" applyFill="1" applyBorder="1" applyAlignment="1"/>
    <xf numFmtId="0" fontId="0" fillId="3" borderId="7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3" xfId="0" applyFont="1" applyFill="1" applyBorder="1"/>
    <xf numFmtId="164" fontId="12" fillId="3" borderId="1" xfId="0" applyNumberFormat="1" applyFont="1" applyFill="1" applyBorder="1"/>
    <xf numFmtId="0" fontId="0" fillId="3" borderId="1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12" fillId="0" borderId="0" xfId="0" applyFont="1" applyBorder="1"/>
    <xf numFmtId="164" fontId="12" fillId="0" borderId="0" xfId="0" applyNumberFormat="1" applyFont="1"/>
    <xf numFmtId="164" fontId="0" fillId="0" borderId="0" xfId="0" applyNumberForma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1" xfId="0" applyFont="1" applyBorder="1" applyAlignment="1">
      <alignment horizontal="left" vertical="center" wrapText="1"/>
    </xf>
    <xf numFmtId="14" fontId="15" fillId="0" borderId="1" xfId="0" applyNumberFormat="1" applyFont="1" applyBorder="1"/>
    <xf numFmtId="0" fontId="0" fillId="4" borderId="0" xfId="0" applyFont="1" applyFill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0" fontId="0" fillId="3" borderId="5" xfId="0" applyFont="1" applyFill="1" applyBorder="1" applyAlignment="1">
      <alignment horizontal="right"/>
    </xf>
    <xf numFmtId="0" fontId="12" fillId="3" borderId="8" xfId="0" applyFont="1" applyFill="1" applyBorder="1" applyAlignment="1">
      <alignment horizontal="right"/>
    </xf>
    <xf numFmtId="0" fontId="12" fillId="3" borderId="8" xfId="0" applyFont="1" applyFill="1" applyBorder="1" applyAlignment="1">
      <alignment horizontal="center"/>
    </xf>
    <xf numFmtId="0" fontId="12" fillId="3" borderId="8" xfId="0" applyFont="1" applyFill="1" applyBorder="1"/>
    <xf numFmtId="0" fontId="12" fillId="3" borderId="8" xfId="0" applyFont="1" applyFill="1" applyBorder="1" applyAlignment="1"/>
    <xf numFmtId="0" fontId="12" fillId="4" borderId="8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0" fontId="0" fillId="3" borderId="8" xfId="0" applyFont="1" applyFill="1" applyBorder="1" applyAlignment="1">
      <alignment horizontal="right"/>
    </xf>
    <xf numFmtId="0" fontId="12" fillId="3" borderId="5" xfId="0" applyFont="1" applyFill="1" applyBorder="1"/>
    <xf numFmtId="0" fontId="12" fillId="3" borderId="4" xfId="0" applyFont="1" applyFill="1" applyBorder="1"/>
    <xf numFmtId="164" fontId="12" fillId="3" borderId="5" xfId="0" applyNumberFormat="1" applyFont="1" applyFill="1" applyBorder="1"/>
    <xf numFmtId="0" fontId="0" fillId="0" borderId="4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0" fillId="4" borderId="5" xfId="0" applyFill="1" applyBorder="1" applyAlignment="1">
      <alignment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center" vertical="center" wrapText="1"/>
    </xf>
    <xf numFmtId="16" fontId="3" fillId="4" borderId="1" xfId="0" applyNumberFormat="1" applyFont="1" applyFill="1" applyBorder="1"/>
    <xf numFmtId="0" fontId="7" fillId="4" borderId="5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0" fontId="7" fillId="4" borderId="1" xfId="0" applyFont="1" applyFill="1" applyBorder="1"/>
    <xf numFmtId="0" fontId="5" fillId="4" borderId="0" xfId="0" applyFont="1" applyFill="1" applyBorder="1"/>
    <xf numFmtId="0" fontId="5" fillId="6" borderId="1" xfId="0" applyFont="1" applyFill="1" applyBorder="1" applyAlignment="1"/>
    <xf numFmtId="0" fontId="5" fillId="6" borderId="1" xfId="0" applyFont="1" applyFill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right" wrapText="1"/>
    </xf>
    <xf numFmtId="0" fontId="2" fillId="4" borderId="6" xfId="0" applyFont="1" applyFill="1" applyBorder="1" applyAlignment="1">
      <alignment wrapText="1"/>
    </xf>
    <xf numFmtId="164" fontId="20" fillId="4" borderId="1" xfId="0" applyNumberFormat="1" applyFont="1" applyFill="1" applyBorder="1"/>
    <xf numFmtId="0" fontId="17" fillId="4" borderId="1" xfId="0" applyFont="1" applyFill="1" applyBorder="1" applyAlignment="1">
      <alignment horizontal="right"/>
    </xf>
    <xf numFmtId="0" fontId="18" fillId="4" borderId="1" xfId="0" applyFont="1" applyFill="1" applyBorder="1" applyAlignment="1">
      <alignment horizontal="right"/>
    </xf>
    <xf numFmtId="0" fontId="17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vertical="top" wrapText="1"/>
    </xf>
    <xf numFmtId="0" fontId="19" fillId="4" borderId="1" xfId="0" applyFont="1" applyFill="1" applyBorder="1" applyAlignment="1">
      <alignment horizontal="center" vertical="top" wrapText="1"/>
    </xf>
    <xf numFmtId="0" fontId="19" fillId="4" borderId="5" xfId="0" applyFont="1" applyFill="1" applyBorder="1" applyAlignment="1">
      <alignment horizontal="center" vertical="top" wrapText="1"/>
    </xf>
    <xf numFmtId="0" fontId="19" fillId="4" borderId="5" xfId="0" applyFont="1" applyFill="1" applyBorder="1" applyAlignment="1">
      <alignment horizontal="center" wrapText="1"/>
    </xf>
    <xf numFmtId="0" fontId="19" fillId="4" borderId="5" xfId="0" applyFont="1" applyFill="1" applyBorder="1" applyAlignment="1">
      <alignment wrapText="1"/>
    </xf>
    <xf numFmtId="0" fontId="17" fillId="4" borderId="1" xfId="0" applyFont="1" applyFill="1" applyBorder="1"/>
    <xf numFmtId="0" fontId="20" fillId="4" borderId="1" xfId="0" applyFont="1" applyFill="1" applyBorder="1"/>
    <xf numFmtId="164" fontId="17" fillId="4" borderId="1" xfId="0" applyNumberFormat="1" applyFont="1" applyFill="1" applyBorder="1"/>
    <xf numFmtId="0" fontId="17" fillId="4" borderId="0" xfId="0" applyFont="1" applyFill="1"/>
    <xf numFmtId="14" fontId="17" fillId="4" borderId="1" xfId="0" applyNumberFormat="1" applyFont="1" applyFill="1" applyBorder="1" applyAlignment="1">
      <alignment horizontal="center"/>
    </xf>
    <xf numFmtId="0" fontId="21" fillId="4" borderId="1" xfId="0" applyFont="1" applyFill="1" applyBorder="1"/>
    <xf numFmtId="0" fontId="21" fillId="4" borderId="1" xfId="0" applyFont="1" applyFill="1" applyBorder="1" applyAlignment="1">
      <alignment horizontal="center"/>
    </xf>
    <xf numFmtId="0" fontId="2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164" fontId="2" fillId="4" borderId="1" xfId="0" applyNumberFormat="1" applyFont="1" applyFill="1" applyBorder="1" applyAlignment="1"/>
    <xf numFmtId="164" fontId="2" fillId="4" borderId="1" xfId="0" applyNumberFormat="1" applyFont="1" applyFill="1" applyBorder="1"/>
    <xf numFmtId="0" fontId="22" fillId="4" borderId="1" xfId="0" applyFont="1" applyFill="1" applyBorder="1" applyAlignment="1"/>
    <xf numFmtId="164" fontId="23" fillId="4" borderId="1" xfId="0" applyNumberFormat="1" applyFont="1" applyFill="1" applyBorder="1" applyAlignment="1"/>
    <xf numFmtId="0" fontId="22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164" fontId="9" fillId="3" borderId="1" xfId="0" applyNumberFormat="1" applyFont="1" applyFill="1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3" borderId="5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right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vertical="top"/>
    </xf>
    <xf numFmtId="0" fontId="7" fillId="4" borderId="5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9" fontId="4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9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vertical="center" wrapText="1"/>
    </xf>
    <xf numFmtId="0" fontId="0" fillId="3" borderId="3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0" fontId="0" fillId="0" borderId="3" xfId="0" applyFont="1" applyBorder="1" applyAlignment="1">
      <alignment horizontal="right" wrapText="1"/>
    </xf>
    <xf numFmtId="0" fontId="0" fillId="0" borderId="4" xfId="0" applyFont="1" applyBorder="1" applyAlignment="1">
      <alignment horizontal="right" wrapText="1"/>
    </xf>
    <xf numFmtId="0" fontId="0" fillId="0" borderId="5" xfId="0" applyFont="1" applyBorder="1" applyAlignment="1">
      <alignment horizontal="right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4" fillId="0" borderId="1" xfId="0" applyFont="1" applyBorder="1" applyAlignment="1">
      <alignment wrapText="1"/>
    </xf>
    <xf numFmtId="0" fontId="5" fillId="4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4"/>
  <sheetViews>
    <sheetView view="pageBreakPreview" topLeftCell="X51" zoomScaleNormal="100" zoomScaleSheetLayoutView="100" workbookViewId="0">
      <selection activeCell="A25" sqref="A25:BG85"/>
    </sheetView>
  </sheetViews>
  <sheetFormatPr defaultRowHeight="15" x14ac:dyDescent="0.25"/>
  <cols>
    <col min="1" max="1" width="3.85546875" customWidth="1"/>
    <col min="2" max="2" width="19.7109375" customWidth="1"/>
    <col min="3" max="3" width="22" customWidth="1"/>
    <col min="4" max="4" width="14.140625" customWidth="1"/>
    <col min="5" max="5" width="8.5703125" style="36" customWidth="1"/>
    <col min="6" max="6" width="5.42578125" style="13" customWidth="1"/>
    <col min="7" max="7" width="4.5703125" customWidth="1"/>
    <col min="8" max="8" width="6" customWidth="1"/>
    <col min="9" max="9" width="7.7109375" customWidth="1"/>
    <col min="10" max="10" width="7.85546875" customWidth="1"/>
    <col min="11" max="11" width="7.5703125" customWidth="1"/>
    <col min="12" max="12" width="6.28515625" customWidth="1"/>
    <col min="13" max="13" width="7.7109375" customWidth="1"/>
    <col min="14" max="14" width="5.28515625" customWidth="1"/>
    <col min="15" max="15" width="4.7109375" customWidth="1"/>
    <col min="16" max="16" width="7.140625" customWidth="1"/>
    <col min="17" max="17" width="5.140625" customWidth="1"/>
    <col min="18" max="18" width="4.28515625" customWidth="1"/>
    <col min="19" max="19" width="6.42578125" customWidth="1"/>
    <col min="20" max="20" width="4.85546875" customWidth="1"/>
    <col min="21" max="21" width="6.28515625" customWidth="1"/>
    <col min="22" max="22" width="4.85546875" customWidth="1"/>
    <col min="23" max="23" width="4.5703125" customWidth="1"/>
    <col min="24" max="24" width="5" customWidth="1"/>
    <col min="25" max="25" width="5.28515625" customWidth="1"/>
    <col min="26" max="26" width="5" customWidth="1"/>
    <col min="27" max="27" width="6.140625" customWidth="1"/>
    <col min="28" max="28" width="5.28515625" customWidth="1"/>
    <col min="29" max="29" width="3.85546875" customWidth="1"/>
    <col min="30" max="30" width="7.28515625" customWidth="1"/>
    <col min="31" max="31" width="4.28515625" customWidth="1"/>
    <col min="32" max="32" width="4.140625" customWidth="1"/>
    <col min="33" max="33" width="5.28515625" customWidth="1"/>
    <col min="34" max="34" width="8.5703125" customWidth="1"/>
    <col min="35" max="35" width="8.28515625" customWidth="1"/>
    <col min="37" max="37" width="4.85546875" customWidth="1"/>
    <col min="38" max="38" width="7.140625" customWidth="1"/>
    <col min="39" max="40" width="6.5703125" customWidth="1"/>
    <col min="41" max="41" width="5.7109375" customWidth="1"/>
    <col min="42" max="42" width="5.85546875" customWidth="1"/>
    <col min="43" max="43" width="7.5703125" customWidth="1"/>
    <col min="44" max="44" width="9.7109375" customWidth="1"/>
    <col min="45" max="45" width="7.28515625" customWidth="1"/>
    <col min="46" max="46" width="3.85546875" customWidth="1"/>
    <col min="47" max="47" width="5.7109375" customWidth="1"/>
    <col min="48" max="49" width="8.28515625" customWidth="1"/>
    <col min="50" max="53" width="7.5703125" customWidth="1"/>
    <col min="54" max="55" width="9.140625" customWidth="1"/>
    <col min="56" max="56" width="10.140625" customWidth="1"/>
    <col min="57" max="57" width="11.28515625" customWidth="1"/>
    <col min="58" max="58" width="9.5703125" bestFit="1" customWidth="1"/>
    <col min="59" max="59" width="9.7109375" style="57" customWidth="1"/>
  </cols>
  <sheetData>
    <row r="1" spans="2:57" x14ac:dyDescent="0.25">
      <c r="B1" s="5" t="s">
        <v>0</v>
      </c>
      <c r="C1" s="5"/>
      <c r="D1" s="5"/>
      <c r="E1" s="29"/>
      <c r="F1" s="11"/>
      <c r="G1" s="5" t="s">
        <v>1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 t="s">
        <v>2</v>
      </c>
      <c r="AA1" s="6"/>
      <c r="AB1" s="6"/>
      <c r="AC1" s="6"/>
      <c r="AD1" s="6"/>
      <c r="AE1" s="6"/>
      <c r="AF1" s="6"/>
      <c r="AG1" s="6"/>
      <c r="AH1" s="6"/>
      <c r="AI1" s="6"/>
      <c r="AJ1" s="6" t="s">
        <v>3</v>
      </c>
      <c r="AK1" s="6" t="s">
        <v>4</v>
      </c>
      <c r="AL1" s="6" t="s">
        <v>5</v>
      </c>
      <c r="AM1" s="6" t="s">
        <v>6</v>
      </c>
      <c r="AN1" s="37" t="s">
        <v>111</v>
      </c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</row>
    <row r="2" spans="2:57" x14ac:dyDescent="0.25">
      <c r="B2" s="5" t="s">
        <v>94</v>
      </c>
      <c r="C2" s="5"/>
      <c r="D2" s="5"/>
      <c r="E2" s="29"/>
      <c r="F2" s="11" t="s">
        <v>95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 t="s">
        <v>7</v>
      </c>
      <c r="AA2" s="6" t="s">
        <v>8</v>
      </c>
      <c r="AB2" s="6"/>
      <c r="AC2" s="6"/>
      <c r="AD2" s="6"/>
      <c r="AE2" s="6"/>
      <c r="AF2" s="6"/>
      <c r="AG2" s="6"/>
      <c r="AH2" s="6"/>
      <c r="AI2" s="6"/>
      <c r="AJ2" s="6">
        <v>6</v>
      </c>
      <c r="AK2" s="6">
        <v>8</v>
      </c>
      <c r="AL2" s="6">
        <v>1</v>
      </c>
      <c r="AM2" s="6">
        <f>SUM(AJ2:AL2)</f>
        <v>15</v>
      </c>
      <c r="AN2" s="11">
        <v>1</v>
      </c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2:57" x14ac:dyDescent="0.25">
      <c r="B3" s="37" t="s">
        <v>140</v>
      </c>
      <c r="C3" s="5"/>
      <c r="D3" s="5"/>
      <c r="E3" s="29"/>
      <c r="F3" s="11" t="s">
        <v>9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11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2:57" x14ac:dyDescent="0.25">
      <c r="B4" s="5"/>
      <c r="C4" s="5"/>
      <c r="D4" s="5"/>
      <c r="E4" s="29"/>
      <c r="F4" s="1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11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2:57" x14ac:dyDescent="0.25">
      <c r="B5" s="5"/>
      <c r="C5" s="5"/>
      <c r="D5" s="5"/>
      <c r="E5" s="29"/>
      <c r="F5" s="1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11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</row>
    <row r="6" spans="2:57" x14ac:dyDescent="0.25">
      <c r="B6" s="5"/>
      <c r="C6" s="5"/>
      <c r="D6" s="5"/>
      <c r="E6" s="29"/>
      <c r="F6" s="1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 t="s">
        <v>10</v>
      </c>
      <c r="AA6" s="6" t="s">
        <v>11</v>
      </c>
      <c r="AB6" s="6"/>
      <c r="AC6" s="6"/>
      <c r="AD6" s="6"/>
      <c r="AE6" s="6"/>
      <c r="AF6" s="6"/>
      <c r="AG6" s="6"/>
      <c r="AH6" s="6"/>
      <c r="AI6" s="6"/>
      <c r="AJ6" s="6">
        <v>4</v>
      </c>
      <c r="AK6" s="6">
        <v>6</v>
      </c>
      <c r="AL6" s="6">
        <v>1</v>
      </c>
      <c r="AM6" s="6">
        <f>SUM(AJ6:AL6)</f>
        <v>11</v>
      </c>
      <c r="AN6" s="73" t="s">
        <v>129</v>
      </c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2:57" x14ac:dyDescent="0.25">
      <c r="B7" s="5"/>
      <c r="C7" s="5"/>
      <c r="D7" s="5"/>
      <c r="E7" s="29"/>
      <c r="F7" s="1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11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2:57" x14ac:dyDescent="0.25">
      <c r="B8" s="5"/>
      <c r="C8" s="5"/>
      <c r="D8" s="2" t="s">
        <v>12</v>
      </c>
      <c r="E8" s="30"/>
      <c r="F8" s="12"/>
      <c r="G8" s="7"/>
      <c r="H8" s="7"/>
      <c r="I8" s="7"/>
      <c r="J8" s="7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/>
      <c r="AA8" s="6" t="s">
        <v>13</v>
      </c>
      <c r="AB8" s="6"/>
      <c r="AC8" s="6"/>
      <c r="AD8" s="6"/>
      <c r="AE8" s="6"/>
      <c r="AF8" s="6"/>
      <c r="AG8" s="6"/>
      <c r="AH8" s="6"/>
      <c r="AI8" s="6"/>
      <c r="AJ8" s="6">
        <v>16</v>
      </c>
      <c r="AK8" s="6">
        <v>27</v>
      </c>
      <c r="AL8" s="6">
        <v>5</v>
      </c>
      <c r="AM8" s="6">
        <f>SUM(AJ8:AL8)</f>
        <v>48</v>
      </c>
      <c r="AN8" s="74">
        <v>4</v>
      </c>
      <c r="AO8" s="8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spans="2:57" x14ac:dyDescent="0.25">
      <c r="B9" s="5"/>
      <c r="C9" s="5" t="s">
        <v>14</v>
      </c>
      <c r="D9" s="5"/>
      <c r="E9" s="29"/>
      <c r="F9" s="11"/>
      <c r="G9" s="5"/>
      <c r="H9" s="5"/>
      <c r="I9" s="5"/>
      <c r="J9" s="5"/>
      <c r="K9" s="5"/>
      <c r="L9" s="2"/>
      <c r="M9" s="2"/>
      <c r="N9" s="2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 t="s">
        <v>16</v>
      </c>
      <c r="AA9" s="6" t="s">
        <v>17</v>
      </c>
      <c r="AB9" s="6"/>
      <c r="AC9" s="6"/>
      <c r="AD9" s="6"/>
      <c r="AE9" s="6"/>
      <c r="AF9" s="6"/>
      <c r="AG9" s="6"/>
      <c r="AH9" s="6"/>
      <c r="AI9" s="6"/>
      <c r="AJ9" s="72">
        <f>AJ11+AJ12</f>
        <v>105</v>
      </c>
      <c r="AK9" s="72">
        <v>177</v>
      </c>
      <c r="AL9" s="72">
        <f>AL11+AL12</f>
        <v>37</v>
      </c>
      <c r="AM9" s="6">
        <f>SUM(AJ9:AL9)</f>
        <v>319</v>
      </c>
      <c r="AN9" s="11"/>
      <c r="AO9" s="8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x14ac:dyDescent="0.25">
      <c r="B10" s="273" t="s">
        <v>174</v>
      </c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5"/>
      <c r="U10" s="5"/>
      <c r="V10" s="5"/>
      <c r="W10" s="5"/>
      <c r="X10" s="5"/>
      <c r="Y10" s="5"/>
      <c r="Z10" s="6"/>
      <c r="AA10" s="6" t="s">
        <v>18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11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</row>
    <row r="11" spans="2:57" x14ac:dyDescent="0.25">
      <c r="B11" s="5"/>
      <c r="C11" s="5"/>
      <c r="D11" s="5"/>
      <c r="E11" s="29"/>
      <c r="F11" s="11" t="s">
        <v>19</v>
      </c>
      <c r="G11" s="37" t="s">
        <v>201</v>
      </c>
      <c r="H11" s="5"/>
      <c r="I11" s="37" t="s">
        <v>202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6" t="s">
        <v>20</v>
      </c>
      <c r="AA11" s="6" t="s">
        <v>21</v>
      </c>
      <c r="AB11" s="6"/>
      <c r="AC11" s="6"/>
      <c r="AD11" s="6"/>
      <c r="AE11" s="6"/>
      <c r="AF11" s="6"/>
      <c r="AG11" s="6"/>
      <c r="AH11" s="6"/>
      <c r="AI11" s="6"/>
      <c r="AJ11" s="6">
        <v>104</v>
      </c>
      <c r="AK11" s="6">
        <v>203</v>
      </c>
      <c r="AL11" s="6">
        <v>32</v>
      </c>
      <c r="AM11" s="6">
        <f>SUM(AJ11:AL11)</f>
        <v>339</v>
      </c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</row>
    <row r="12" spans="2:57" x14ac:dyDescent="0.25">
      <c r="B12" s="5"/>
      <c r="C12" s="5"/>
      <c r="D12" s="5"/>
      <c r="E12" s="29"/>
      <c r="F12" s="1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6" t="s">
        <v>22</v>
      </c>
      <c r="AA12" s="6" t="s">
        <v>23</v>
      </c>
      <c r="AB12" s="6"/>
      <c r="AC12" s="6"/>
      <c r="AD12" s="6"/>
      <c r="AE12" s="6"/>
      <c r="AF12" s="6"/>
      <c r="AG12" s="6"/>
      <c r="AH12" s="6"/>
      <c r="AI12" s="6"/>
      <c r="AJ12" s="6">
        <v>1</v>
      </c>
      <c r="AK12" s="6">
        <v>10</v>
      </c>
      <c r="AL12" s="6">
        <v>5</v>
      </c>
      <c r="AM12" s="6">
        <f>SUM(AJ12:AL12)</f>
        <v>16</v>
      </c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</row>
    <row r="13" spans="2:57" x14ac:dyDescent="0.25">
      <c r="B13" s="5"/>
      <c r="C13" s="5" t="s">
        <v>24</v>
      </c>
      <c r="D13" s="5" t="s">
        <v>25</v>
      </c>
      <c r="E13" s="29"/>
      <c r="F13" s="11"/>
      <c r="G13" s="2" t="s">
        <v>26</v>
      </c>
      <c r="H13" s="2"/>
      <c r="I13" s="2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6"/>
      <c r="AA13" s="6" t="s">
        <v>27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</row>
    <row r="14" spans="2:57" x14ac:dyDescent="0.25">
      <c r="B14" s="5"/>
      <c r="C14" s="5"/>
      <c r="D14" s="5"/>
      <c r="E14" s="38" t="s">
        <v>112</v>
      </c>
      <c r="F14" s="11" t="s">
        <v>28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6"/>
      <c r="AA14" s="6" t="s">
        <v>29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</row>
    <row r="15" spans="2:57" x14ac:dyDescent="0.25">
      <c r="B15" s="5"/>
      <c r="C15" s="5"/>
      <c r="D15" s="5"/>
      <c r="E15" s="29"/>
      <c r="F15" s="1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6"/>
      <c r="AA15" s="6" t="s">
        <v>30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</row>
    <row r="16" spans="2:57" x14ac:dyDescent="0.25">
      <c r="B16" s="5"/>
      <c r="C16" s="5"/>
      <c r="D16" s="5"/>
      <c r="E16" s="29"/>
      <c r="F16" s="11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6"/>
      <c r="AA16" s="6" t="s">
        <v>31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>
        <f>SUM(AJ16:AL16)</f>
        <v>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</row>
    <row r="17" spans="1:59" x14ac:dyDescent="0.25">
      <c r="B17" s="5"/>
      <c r="C17" s="5"/>
      <c r="D17" s="5"/>
      <c r="E17" s="29"/>
      <c r="F17" s="1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6"/>
      <c r="AA17" s="6" t="s">
        <v>32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>
        <f>SUM(AJ17:AL17)</f>
        <v>0</v>
      </c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</row>
    <row r="18" spans="1:59" x14ac:dyDescent="0.25">
      <c r="B18" s="5"/>
      <c r="C18" s="5"/>
      <c r="D18" s="5"/>
      <c r="E18" s="29"/>
      <c r="F18" s="1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6"/>
      <c r="AA18" s="6" t="s">
        <v>33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</row>
    <row r="19" spans="1:59" x14ac:dyDescent="0.25">
      <c r="B19" s="5"/>
      <c r="C19" s="5"/>
      <c r="D19" s="5"/>
      <c r="E19" s="29"/>
      <c r="F19" s="1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6"/>
      <c r="AA19" s="6" t="s">
        <v>34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>
        <f>SUM(AJ19:AL19)</f>
        <v>0</v>
      </c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</row>
    <row r="20" spans="1:59" x14ac:dyDescent="0.25">
      <c r="B20" s="5"/>
      <c r="C20" s="5"/>
      <c r="D20" s="5"/>
      <c r="E20" s="29"/>
      <c r="F20" s="1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6"/>
      <c r="AA20" s="6" t="s">
        <v>35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5"/>
      <c r="AO20" s="5"/>
      <c r="AP20" s="9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1:59" x14ac:dyDescent="0.25">
      <c r="B21" s="5"/>
      <c r="C21" s="5"/>
      <c r="D21" s="5"/>
      <c r="E21" s="29"/>
      <c r="F21" s="1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6"/>
      <c r="AA21" s="6" t="s">
        <v>36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>
        <f>SUM(AJ21:AL21)</f>
        <v>0</v>
      </c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</row>
    <row r="22" spans="1:59" x14ac:dyDescent="0.25">
      <c r="B22" s="5"/>
      <c r="C22" s="5"/>
      <c r="D22" s="5"/>
      <c r="E22" s="29"/>
      <c r="F22" s="1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6"/>
      <c r="AA22" s="6" t="s">
        <v>37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>
        <f>SUM(AJ22:AL22)</f>
        <v>0</v>
      </c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</row>
    <row r="23" spans="1:59" x14ac:dyDescent="0.25">
      <c r="B23" s="5"/>
      <c r="C23" s="5"/>
      <c r="D23" s="5"/>
      <c r="E23" s="29"/>
      <c r="F23" s="11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6"/>
      <c r="AA23" s="6" t="s">
        <v>38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>
        <f>SUM(AJ23:AL23)</f>
        <v>0</v>
      </c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</row>
    <row r="24" spans="1:59" x14ac:dyDescent="0.25">
      <c r="B24" s="5"/>
      <c r="C24" s="5"/>
      <c r="D24" s="5"/>
      <c r="E24" s="29"/>
      <c r="F24" s="11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</row>
    <row r="25" spans="1:59" ht="15" customHeight="1" x14ac:dyDescent="0.25">
      <c r="A25" s="274" t="s">
        <v>39</v>
      </c>
      <c r="B25" s="261" t="s">
        <v>40</v>
      </c>
      <c r="C25" s="261" t="s">
        <v>41</v>
      </c>
      <c r="D25" s="261" t="s">
        <v>42</v>
      </c>
      <c r="E25" s="31"/>
      <c r="F25" s="261" t="s">
        <v>43</v>
      </c>
      <c r="G25" s="252" t="s">
        <v>99</v>
      </c>
      <c r="H25" s="52"/>
      <c r="I25" s="277" t="s">
        <v>44</v>
      </c>
      <c r="J25" s="261" t="s">
        <v>45</v>
      </c>
      <c r="K25" s="278" t="s">
        <v>142</v>
      </c>
      <c r="L25" s="270" t="s">
        <v>46</v>
      </c>
      <c r="M25" s="270" t="s">
        <v>47</v>
      </c>
      <c r="N25" s="269" t="s">
        <v>48</v>
      </c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 t="s">
        <v>49</v>
      </c>
      <c r="AI25" s="269"/>
      <c r="AJ25" s="269"/>
      <c r="AK25" s="269" t="s">
        <v>50</v>
      </c>
      <c r="AL25" s="269"/>
      <c r="AM25" s="269"/>
      <c r="AN25" s="269"/>
      <c r="AO25" s="269"/>
      <c r="AP25" s="269"/>
      <c r="AQ25" s="270" t="s">
        <v>47</v>
      </c>
      <c r="AR25" s="261" t="s">
        <v>51</v>
      </c>
      <c r="AS25" s="261" t="s">
        <v>52</v>
      </c>
      <c r="AT25" s="261"/>
      <c r="AU25" s="261"/>
      <c r="AV25" s="261" t="s">
        <v>53</v>
      </c>
      <c r="AW25" s="252" t="s">
        <v>199</v>
      </c>
      <c r="AX25" s="261" t="s">
        <v>96</v>
      </c>
      <c r="AY25" s="252" t="s">
        <v>138</v>
      </c>
      <c r="AZ25" s="262" t="s">
        <v>143</v>
      </c>
      <c r="BA25" s="262" t="s">
        <v>203</v>
      </c>
      <c r="BB25" s="262" t="s">
        <v>144</v>
      </c>
      <c r="BC25" s="266" t="s">
        <v>204</v>
      </c>
      <c r="BD25" s="265" t="s">
        <v>194</v>
      </c>
      <c r="BE25" s="265" t="s">
        <v>135</v>
      </c>
      <c r="BF25" s="255" t="s">
        <v>136</v>
      </c>
      <c r="BG25" s="258" t="s">
        <v>137</v>
      </c>
    </row>
    <row r="26" spans="1:59" x14ac:dyDescent="0.25">
      <c r="A26" s="275"/>
      <c r="B26" s="261"/>
      <c r="C26" s="261"/>
      <c r="D26" s="261"/>
      <c r="E26" s="31"/>
      <c r="F26" s="261"/>
      <c r="G26" s="253"/>
      <c r="H26" s="51"/>
      <c r="I26" s="253"/>
      <c r="J26" s="261"/>
      <c r="K26" s="279"/>
      <c r="L26" s="271"/>
      <c r="M26" s="271"/>
      <c r="N26" s="269" t="s">
        <v>55</v>
      </c>
      <c r="O26" s="269"/>
      <c r="P26" s="269"/>
      <c r="Q26" s="269"/>
      <c r="R26" s="269"/>
      <c r="S26" s="269"/>
      <c r="T26" s="269" t="s">
        <v>56</v>
      </c>
      <c r="U26" s="269"/>
      <c r="V26" s="269"/>
      <c r="W26" s="269"/>
      <c r="X26" s="269"/>
      <c r="Y26" s="269"/>
      <c r="Z26" s="269"/>
      <c r="AA26" s="269"/>
      <c r="AB26" s="269" t="s">
        <v>57</v>
      </c>
      <c r="AC26" s="269"/>
      <c r="AD26" s="269"/>
      <c r="AE26" s="269"/>
      <c r="AF26" s="269"/>
      <c r="AG26" s="269"/>
      <c r="AH26" s="53" t="s">
        <v>55</v>
      </c>
      <c r="AI26" s="53" t="s">
        <v>56</v>
      </c>
      <c r="AJ26" s="53" t="s">
        <v>57</v>
      </c>
      <c r="AK26" s="269" t="s">
        <v>55</v>
      </c>
      <c r="AL26" s="269"/>
      <c r="AM26" s="269" t="s">
        <v>56</v>
      </c>
      <c r="AN26" s="269"/>
      <c r="AO26" s="269" t="s">
        <v>57</v>
      </c>
      <c r="AP26" s="269"/>
      <c r="AQ26" s="271"/>
      <c r="AR26" s="261"/>
      <c r="AS26" s="261" t="s">
        <v>58</v>
      </c>
      <c r="AT26" s="261" t="s">
        <v>59</v>
      </c>
      <c r="AU26" s="261" t="s">
        <v>60</v>
      </c>
      <c r="AV26" s="261"/>
      <c r="AW26" s="253"/>
      <c r="AX26" s="261"/>
      <c r="AY26" s="253"/>
      <c r="AZ26" s="263"/>
      <c r="BA26" s="263"/>
      <c r="BB26" s="263"/>
      <c r="BC26" s="267"/>
      <c r="BD26" s="261"/>
      <c r="BE26" s="261"/>
      <c r="BF26" s="256"/>
      <c r="BG26" s="259"/>
    </row>
    <row r="27" spans="1:59" ht="42" customHeight="1" x14ac:dyDescent="0.25">
      <c r="A27" s="276"/>
      <c r="B27" s="261"/>
      <c r="C27" s="261"/>
      <c r="D27" s="261"/>
      <c r="E27" s="32" t="s">
        <v>98</v>
      </c>
      <c r="F27" s="261"/>
      <c r="G27" s="254"/>
      <c r="H27" s="171"/>
      <c r="I27" s="254"/>
      <c r="J27" s="261"/>
      <c r="K27" s="280"/>
      <c r="L27" s="272"/>
      <c r="M27" s="272"/>
      <c r="N27" s="4" t="s">
        <v>181</v>
      </c>
      <c r="O27" s="6">
        <v>1</v>
      </c>
      <c r="P27" s="70" t="s">
        <v>182</v>
      </c>
      <c r="Q27" s="70" t="s">
        <v>183</v>
      </c>
      <c r="R27" s="66" t="s">
        <v>141</v>
      </c>
      <c r="S27" s="6" t="s">
        <v>6</v>
      </c>
      <c r="T27" s="4" t="s">
        <v>195</v>
      </c>
      <c r="U27" s="70" t="s">
        <v>184</v>
      </c>
      <c r="V27" s="6">
        <v>7</v>
      </c>
      <c r="W27" s="6">
        <v>8</v>
      </c>
      <c r="X27" s="6">
        <v>9</v>
      </c>
      <c r="Y27" s="66" t="s">
        <v>196</v>
      </c>
      <c r="Z27" s="66" t="s">
        <v>141</v>
      </c>
      <c r="AA27" s="6" t="s">
        <v>6</v>
      </c>
      <c r="AB27" s="6"/>
      <c r="AC27" s="6"/>
      <c r="AD27" s="6">
        <v>10</v>
      </c>
      <c r="AE27" s="6"/>
      <c r="AF27" s="66" t="s">
        <v>141</v>
      </c>
      <c r="AG27" s="6" t="s">
        <v>6</v>
      </c>
      <c r="AH27" s="6"/>
      <c r="AI27" s="6"/>
      <c r="AJ27" s="6"/>
      <c r="AK27" s="6" t="s">
        <v>61</v>
      </c>
      <c r="AL27" s="10" t="s">
        <v>62</v>
      </c>
      <c r="AM27" s="6" t="s">
        <v>61</v>
      </c>
      <c r="AN27" s="10" t="s">
        <v>62</v>
      </c>
      <c r="AO27" s="6" t="s">
        <v>61</v>
      </c>
      <c r="AP27" s="10" t="s">
        <v>62</v>
      </c>
      <c r="AQ27" s="272"/>
      <c r="AR27" s="261"/>
      <c r="AS27" s="261"/>
      <c r="AT27" s="261"/>
      <c r="AU27" s="261"/>
      <c r="AV27" s="261"/>
      <c r="AW27" s="254"/>
      <c r="AX27" s="261"/>
      <c r="AY27" s="254"/>
      <c r="AZ27" s="264"/>
      <c r="BA27" s="264"/>
      <c r="BB27" s="264"/>
      <c r="BC27" s="268"/>
      <c r="BD27" s="261"/>
      <c r="BE27" s="261"/>
      <c r="BF27" s="257"/>
      <c r="BG27" s="260"/>
    </row>
    <row r="28" spans="1:59" x14ac:dyDescent="0.25">
      <c r="A28" s="215"/>
      <c r="B28" s="76" t="s">
        <v>145</v>
      </c>
      <c r="C28" s="76" t="s">
        <v>152</v>
      </c>
      <c r="D28" s="76" t="s">
        <v>65</v>
      </c>
      <c r="E28" s="76"/>
      <c r="F28" s="183">
        <v>10</v>
      </c>
      <c r="G28" s="77" t="s">
        <v>104</v>
      </c>
      <c r="H28" s="45">
        <v>1.4</v>
      </c>
      <c r="I28" s="184">
        <v>89016</v>
      </c>
      <c r="J28" s="77">
        <f t="shared" ref="J28:J54" si="0">I28*125/100</f>
        <v>111270</v>
      </c>
      <c r="K28" s="22"/>
      <c r="L28" s="184"/>
      <c r="M28" s="184"/>
      <c r="N28" s="78"/>
      <c r="O28" s="78"/>
      <c r="P28" s="78"/>
      <c r="Q28" s="78"/>
      <c r="R28" s="66"/>
      <c r="S28" s="77">
        <f>N28+O28+P28+Q28+R28</f>
        <v>0</v>
      </c>
      <c r="T28" s="78"/>
      <c r="U28" s="78"/>
      <c r="V28" s="78"/>
      <c r="W28" s="78"/>
      <c r="X28" s="78"/>
      <c r="Y28" s="66"/>
      <c r="Z28" s="66"/>
      <c r="AA28" s="79">
        <f>T28+U28+V28+W28+X28+Y28+Z28</f>
        <v>0</v>
      </c>
      <c r="AB28" s="78"/>
      <c r="AC28" s="78"/>
      <c r="AD28" s="78"/>
      <c r="AE28" s="78"/>
      <c r="AF28" s="66"/>
      <c r="AG28" s="77">
        <f>AB28+AD28+AE28+AF28+AC28</f>
        <v>0</v>
      </c>
      <c r="AH28" s="77">
        <f>(J28+L28)/16*S28</f>
        <v>0</v>
      </c>
      <c r="AI28" s="77">
        <f>(J28+L28)/16*AA28</f>
        <v>0</v>
      </c>
      <c r="AJ28" s="80">
        <f>(J28+L28)/16*AG28</f>
        <v>0</v>
      </c>
      <c r="AK28" s="78"/>
      <c r="AL28" s="76"/>
      <c r="AM28" s="78"/>
      <c r="AN28" s="76"/>
      <c r="AO28" s="78"/>
      <c r="AP28" s="76"/>
      <c r="AQ28" s="47">
        <f t="shared" ref="AQ28:AQ29" si="1">M28/18*S28+M28/18*AA28+M28/18*AG28</f>
        <v>0</v>
      </c>
      <c r="AR28" s="47">
        <f t="shared" ref="AR28" si="2">AH28+AI28+AJ28+AL28+AN28+AP28+AQ28</f>
        <v>0</v>
      </c>
      <c r="AS28" s="76"/>
      <c r="AT28" s="76"/>
      <c r="AU28" s="76"/>
      <c r="AV28" s="76">
        <f>J28*0.5</f>
        <v>55635</v>
      </c>
      <c r="AW28" s="77">
        <f>(AH28+AI28+AJ28+AV28)*75%</f>
        <v>41726.25</v>
      </c>
      <c r="AX28" s="76"/>
      <c r="AY28" s="77">
        <f>(AH28+AI28+AJ28+AV28+AW28)*10%</f>
        <v>9736.125</v>
      </c>
      <c r="AZ28" s="181">
        <f t="shared" ref="AZ28:AZ54" si="3">K28/16*S28+K28/16*AA28+K28/16*AG28</f>
        <v>0</v>
      </c>
      <c r="BA28" s="181">
        <f>AZ28*75%</f>
        <v>0</v>
      </c>
      <c r="BB28" s="182">
        <f t="shared" ref="BB28" si="4">AZ28+BA28</f>
        <v>0</v>
      </c>
      <c r="BC28" s="22"/>
      <c r="BD28" s="76"/>
      <c r="BE28" s="80">
        <f t="shared" ref="BE28:BE54" si="5">AR28+AS28+AT28+AU28+AV28+AX28+AY28+BD28+AZ28+BA28</f>
        <v>65371.125</v>
      </c>
      <c r="BF28" s="81">
        <f>AW28</f>
        <v>41726.25</v>
      </c>
      <c r="BG28" s="82">
        <f>BE28+BF28</f>
        <v>107097.375</v>
      </c>
    </row>
    <row r="29" spans="1:59" x14ac:dyDescent="0.25">
      <c r="A29" s="215"/>
      <c r="B29" s="67" t="s">
        <v>145</v>
      </c>
      <c r="C29" s="67" t="s">
        <v>175</v>
      </c>
      <c r="D29" s="67" t="s">
        <v>65</v>
      </c>
      <c r="E29" s="67" t="s">
        <v>132</v>
      </c>
      <c r="F29" s="185">
        <v>10</v>
      </c>
      <c r="G29" s="83" t="s">
        <v>103</v>
      </c>
      <c r="H29" s="186">
        <v>2.2999999999999998</v>
      </c>
      <c r="I29" s="184">
        <v>85123</v>
      </c>
      <c r="J29" s="77">
        <f t="shared" si="0"/>
        <v>106403.75</v>
      </c>
      <c r="K29" s="22"/>
      <c r="L29" s="83"/>
      <c r="M29" s="83"/>
      <c r="N29" s="68"/>
      <c r="O29" s="68"/>
      <c r="P29" s="68"/>
      <c r="Q29" s="68"/>
      <c r="R29" s="69"/>
      <c r="S29" s="77">
        <f t="shared" ref="S29:S54" si="6">N29+O29+P29+Q29+R29</f>
        <v>0</v>
      </c>
      <c r="T29" s="68"/>
      <c r="U29" s="68"/>
      <c r="V29" s="68"/>
      <c r="W29" s="68"/>
      <c r="X29" s="68"/>
      <c r="Y29" s="69"/>
      <c r="Z29" s="69"/>
      <c r="AA29" s="79">
        <f t="shared" ref="AA29:AA54" si="7">T29+U29+V29+W29+X29+Y29+Z29</f>
        <v>0</v>
      </c>
      <c r="AB29" s="68"/>
      <c r="AC29" s="68"/>
      <c r="AD29" s="68"/>
      <c r="AE29" s="68"/>
      <c r="AF29" s="69"/>
      <c r="AG29" s="77">
        <f t="shared" ref="AG29:AG54" si="8">AB29+AD29+AE29+AF29+AC29</f>
        <v>0</v>
      </c>
      <c r="AH29" s="77">
        <f t="shared" ref="AH29:AH54" si="9">(J29+L29)/16*S29</f>
        <v>0</v>
      </c>
      <c r="AI29" s="77">
        <f t="shared" ref="AI29:AI54" si="10">(J29+L29)/16*AA29</f>
        <v>0</v>
      </c>
      <c r="AJ29" s="80">
        <f t="shared" ref="AJ29:AJ54" si="11">(J29+L29)/16*AG29</f>
        <v>0</v>
      </c>
      <c r="AK29" s="68"/>
      <c r="AL29" s="67"/>
      <c r="AM29" s="68"/>
      <c r="AN29" s="67"/>
      <c r="AO29" s="68"/>
      <c r="AP29" s="67"/>
      <c r="AQ29" s="47">
        <f t="shared" si="1"/>
        <v>0</v>
      </c>
      <c r="AR29" s="47">
        <f>AH29+AI29+AJ29+AL29+AN29+AP29+AQ29</f>
        <v>0</v>
      </c>
      <c r="AS29" s="67"/>
      <c r="AT29" s="67"/>
      <c r="AU29" s="67"/>
      <c r="AV29" s="76">
        <f>J29</f>
        <v>106403.75</v>
      </c>
      <c r="AW29" s="77">
        <f t="shared" ref="AW29:AW64" si="12">(AH29+AI29+AJ29+AV29)*75%</f>
        <v>79802.8125</v>
      </c>
      <c r="AX29" s="67"/>
      <c r="AY29" s="77">
        <f t="shared" ref="AY29:AY54" si="13">(AH29+AI29+AJ29+AV29+AW29)*10%</f>
        <v>18620.65625</v>
      </c>
      <c r="AZ29" s="181">
        <f t="shared" si="3"/>
        <v>0</v>
      </c>
      <c r="BA29" s="181">
        <f t="shared" ref="BA29:BA64" si="14">AZ29*75%</f>
        <v>0</v>
      </c>
      <c r="BB29" s="182">
        <f>AZ29+BA29</f>
        <v>0</v>
      </c>
      <c r="BC29" s="22"/>
      <c r="BD29" s="67">
        <v>7079</v>
      </c>
      <c r="BE29" s="80">
        <f t="shared" si="5"/>
        <v>132103.40625</v>
      </c>
      <c r="BF29" s="81">
        <f t="shared" ref="BF29:BF54" si="15">AW29</f>
        <v>79802.8125</v>
      </c>
      <c r="BG29" s="82">
        <f t="shared" ref="BG29:BG54" si="16">BE29+BF29</f>
        <v>211906.21875</v>
      </c>
    </row>
    <row r="30" spans="1:59" s="48" customFormat="1" x14ac:dyDescent="0.25">
      <c r="A30" s="42"/>
      <c r="B30" s="22" t="s">
        <v>63</v>
      </c>
      <c r="C30" s="49" t="s">
        <v>64</v>
      </c>
      <c r="D30" s="22" t="s">
        <v>65</v>
      </c>
      <c r="E30" s="45" t="s">
        <v>133</v>
      </c>
      <c r="F30" s="43">
        <v>28</v>
      </c>
      <c r="G30" s="22" t="s">
        <v>103</v>
      </c>
      <c r="H30" s="45">
        <v>2.1</v>
      </c>
      <c r="I30" s="77">
        <v>95741</v>
      </c>
      <c r="J30" s="77">
        <f t="shared" si="0"/>
        <v>119676.25</v>
      </c>
      <c r="K30" s="22">
        <f>J30*30%</f>
        <v>35902.875</v>
      </c>
      <c r="L30" s="22"/>
      <c r="M30" s="22"/>
      <c r="N30" s="22"/>
      <c r="O30" s="22"/>
      <c r="P30" s="22"/>
      <c r="Q30" s="22"/>
      <c r="R30" s="22"/>
      <c r="S30" s="77">
        <f t="shared" si="6"/>
        <v>0</v>
      </c>
      <c r="T30" s="46"/>
      <c r="U30" s="46">
        <v>3</v>
      </c>
      <c r="V30" s="46">
        <v>3</v>
      </c>
      <c r="W30" s="46">
        <v>3</v>
      </c>
      <c r="X30" s="46">
        <v>4</v>
      </c>
      <c r="Y30" s="46"/>
      <c r="Z30" s="46">
        <v>1</v>
      </c>
      <c r="AA30" s="79">
        <f t="shared" si="7"/>
        <v>14</v>
      </c>
      <c r="AB30" s="22"/>
      <c r="AC30" s="22"/>
      <c r="AD30" s="22">
        <v>5</v>
      </c>
      <c r="AE30" s="22"/>
      <c r="AF30" s="22"/>
      <c r="AG30" s="77">
        <f t="shared" si="8"/>
        <v>5</v>
      </c>
      <c r="AH30" s="77">
        <f t="shared" si="9"/>
        <v>0</v>
      </c>
      <c r="AI30" s="77">
        <f t="shared" si="10"/>
        <v>104716.71875</v>
      </c>
      <c r="AJ30" s="80">
        <f t="shared" si="11"/>
        <v>37398.828125</v>
      </c>
      <c r="AK30" s="22"/>
      <c r="AL30" s="22"/>
      <c r="AM30" s="22"/>
      <c r="AN30" s="22"/>
      <c r="AO30" s="22"/>
      <c r="AP30" s="22"/>
      <c r="AQ30" s="47">
        <f>M30/18*S30+M30/18*AA30+M30/18*AG30</f>
        <v>0</v>
      </c>
      <c r="AR30" s="47">
        <f t="shared" ref="AR30:AR31" si="17">AH30+AI30+AJ30+AL30+AN30+AP30+AQ30</f>
        <v>142115.546875</v>
      </c>
      <c r="AS30" s="22"/>
      <c r="AT30" s="22"/>
      <c r="AU30" s="22"/>
      <c r="AV30" s="22"/>
      <c r="AW30" s="77">
        <f t="shared" si="12"/>
        <v>106586.66015625</v>
      </c>
      <c r="AX30" s="22"/>
      <c r="AY30" s="77">
        <f t="shared" si="13"/>
        <v>24870.220703125</v>
      </c>
      <c r="AZ30" s="77">
        <f t="shared" si="3"/>
        <v>42634.6640625</v>
      </c>
      <c r="BA30" s="181">
        <f t="shared" si="14"/>
        <v>31975.998046875</v>
      </c>
      <c r="BB30" s="22">
        <f t="shared" ref="BB30:BB31" si="18">AZ30+BA30</f>
        <v>74610.662109375</v>
      </c>
      <c r="BC30" s="22"/>
      <c r="BD30" s="22">
        <v>1326</v>
      </c>
      <c r="BE30" s="80">
        <f t="shared" si="5"/>
        <v>242922.4296875</v>
      </c>
      <c r="BF30" s="81">
        <f t="shared" si="15"/>
        <v>106586.66015625</v>
      </c>
      <c r="BG30" s="82">
        <f t="shared" si="16"/>
        <v>349509.08984375</v>
      </c>
    </row>
    <row r="31" spans="1:59" s="48" customFormat="1" x14ac:dyDescent="0.25">
      <c r="A31" s="42"/>
      <c r="B31" s="22" t="s">
        <v>63</v>
      </c>
      <c r="C31" s="49" t="s">
        <v>146</v>
      </c>
      <c r="D31" s="22" t="s">
        <v>65</v>
      </c>
      <c r="E31" s="45"/>
      <c r="F31" s="43">
        <v>28</v>
      </c>
      <c r="G31" s="22" t="s">
        <v>103</v>
      </c>
      <c r="H31" s="45">
        <v>2.4</v>
      </c>
      <c r="I31" s="77">
        <v>83707</v>
      </c>
      <c r="J31" s="77">
        <f t="shared" si="0"/>
        <v>104633.75</v>
      </c>
      <c r="K31" s="22">
        <f>J31*30%</f>
        <v>31390.125</v>
      </c>
      <c r="L31" s="22"/>
      <c r="M31" s="22"/>
      <c r="N31" s="22"/>
      <c r="O31" s="22"/>
      <c r="P31" s="22"/>
      <c r="Q31" s="22"/>
      <c r="R31" s="22"/>
      <c r="S31" s="77">
        <f t="shared" si="6"/>
        <v>0</v>
      </c>
      <c r="T31" s="46"/>
      <c r="U31" s="46"/>
      <c r="V31" s="46">
        <v>2</v>
      </c>
      <c r="W31" s="46">
        <v>2</v>
      </c>
      <c r="X31" s="46">
        <v>2</v>
      </c>
      <c r="Y31" s="46"/>
      <c r="Z31" s="46"/>
      <c r="AA31" s="79">
        <f t="shared" si="7"/>
        <v>6</v>
      </c>
      <c r="AB31" s="22"/>
      <c r="AC31" s="22"/>
      <c r="AD31" s="22">
        <v>1</v>
      </c>
      <c r="AE31" s="22"/>
      <c r="AF31" s="22"/>
      <c r="AG31" s="77">
        <f t="shared" si="8"/>
        <v>1</v>
      </c>
      <c r="AH31" s="77">
        <f t="shared" si="9"/>
        <v>0</v>
      </c>
      <c r="AI31" s="77">
        <f t="shared" si="10"/>
        <v>39237.65625</v>
      </c>
      <c r="AJ31" s="80">
        <f t="shared" si="11"/>
        <v>6539.609375</v>
      </c>
      <c r="AK31" s="22"/>
      <c r="AL31" s="22"/>
      <c r="AM31" s="22"/>
      <c r="AN31" s="22"/>
      <c r="AO31" s="22"/>
      <c r="AP31" s="22"/>
      <c r="AQ31" s="47">
        <f t="shared" ref="AQ31" si="19">M31/18*S31+M31/18*AA31+M31/18*AG31</f>
        <v>0</v>
      </c>
      <c r="AR31" s="47">
        <f t="shared" si="17"/>
        <v>45777.265625</v>
      </c>
      <c r="AS31" s="22"/>
      <c r="AT31" s="22"/>
      <c r="AU31" s="22"/>
      <c r="AV31" s="22"/>
      <c r="AW31" s="77">
        <f t="shared" si="12"/>
        <v>34332.94921875</v>
      </c>
      <c r="AX31" s="22"/>
      <c r="AY31" s="77">
        <f t="shared" si="13"/>
        <v>8011.021484375</v>
      </c>
      <c r="AZ31" s="77">
        <f t="shared" si="3"/>
        <v>13733.1796875</v>
      </c>
      <c r="BA31" s="181">
        <f t="shared" si="14"/>
        <v>10299.884765625</v>
      </c>
      <c r="BB31" s="22">
        <f t="shared" si="18"/>
        <v>24033.064453125</v>
      </c>
      <c r="BC31" s="22"/>
      <c r="BD31" s="22">
        <v>884</v>
      </c>
      <c r="BE31" s="80">
        <f t="shared" si="5"/>
        <v>78705.3515625</v>
      </c>
      <c r="BF31" s="81">
        <f t="shared" si="15"/>
        <v>34332.94921875</v>
      </c>
      <c r="BG31" s="82">
        <f t="shared" si="16"/>
        <v>113038.30078125</v>
      </c>
    </row>
    <row r="32" spans="1:59" x14ac:dyDescent="0.25">
      <c r="A32" s="42"/>
      <c r="B32" s="22" t="s">
        <v>66</v>
      </c>
      <c r="C32" s="22" t="s">
        <v>130</v>
      </c>
      <c r="D32" s="22" t="s">
        <v>101</v>
      </c>
      <c r="E32" s="45" t="s">
        <v>191</v>
      </c>
      <c r="F32" s="43">
        <v>39</v>
      </c>
      <c r="G32" s="22" t="s">
        <v>104</v>
      </c>
      <c r="H32" s="45">
        <v>1.4</v>
      </c>
      <c r="I32" s="77">
        <v>99457</v>
      </c>
      <c r="J32" s="77">
        <f t="shared" si="0"/>
        <v>124321.25</v>
      </c>
      <c r="K32" s="22"/>
      <c r="L32" s="22"/>
      <c r="M32" s="22"/>
      <c r="N32" s="22"/>
      <c r="O32" s="22"/>
      <c r="P32" s="22"/>
      <c r="Q32" s="22"/>
      <c r="R32" s="22"/>
      <c r="S32" s="77">
        <f t="shared" si="6"/>
        <v>0</v>
      </c>
      <c r="T32" s="46"/>
      <c r="U32" s="46"/>
      <c r="V32" s="46"/>
      <c r="W32" s="46"/>
      <c r="X32" s="46"/>
      <c r="Y32" s="46"/>
      <c r="Z32" s="46"/>
      <c r="AA32" s="79">
        <f t="shared" si="7"/>
        <v>0</v>
      </c>
      <c r="AB32" s="22"/>
      <c r="AC32" s="22"/>
      <c r="AD32" s="22"/>
      <c r="AE32" s="22"/>
      <c r="AF32" s="22"/>
      <c r="AG32" s="77">
        <f t="shared" si="8"/>
        <v>0</v>
      </c>
      <c r="AH32" s="77">
        <f t="shared" si="9"/>
        <v>0</v>
      </c>
      <c r="AI32" s="77">
        <f t="shared" si="10"/>
        <v>0</v>
      </c>
      <c r="AJ32" s="80">
        <f t="shared" si="11"/>
        <v>0</v>
      </c>
      <c r="AK32" s="22"/>
      <c r="AL32" s="22"/>
      <c r="AM32" s="22"/>
      <c r="AN32" s="22"/>
      <c r="AO32" s="22"/>
      <c r="AP32" s="22"/>
      <c r="AQ32" s="47">
        <f t="shared" ref="AQ32:AQ54" si="20">M32/18*S32+M32/18*AA32+M32/18*AG32</f>
        <v>0</v>
      </c>
      <c r="AR32" s="47">
        <f t="shared" ref="AR32:AR54" si="21">AH32+AI32+AJ32+AL32+AN32+AP32+AQ32</f>
        <v>0</v>
      </c>
      <c r="AS32" s="22"/>
      <c r="AT32" s="22"/>
      <c r="AU32" s="22"/>
      <c r="AV32" s="22">
        <f>J32*0.5</f>
        <v>62160.625</v>
      </c>
      <c r="AW32" s="77">
        <f t="shared" si="12"/>
        <v>46620.46875</v>
      </c>
      <c r="AX32" s="22"/>
      <c r="AY32" s="77">
        <f t="shared" si="13"/>
        <v>10878.109375</v>
      </c>
      <c r="AZ32" s="181">
        <f t="shared" si="3"/>
        <v>0</v>
      </c>
      <c r="BA32" s="181">
        <f t="shared" si="14"/>
        <v>0</v>
      </c>
      <c r="BB32" s="182">
        <f t="shared" ref="BB32:BB54" si="22">AZ32+BA32</f>
        <v>0</v>
      </c>
      <c r="BC32" s="22"/>
      <c r="BD32" s="22"/>
      <c r="BE32" s="80">
        <f t="shared" si="5"/>
        <v>73038.734375</v>
      </c>
      <c r="BF32" s="81">
        <f t="shared" si="15"/>
        <v>46620.46875</v>
      </c>
      <c r="BG32" s="82">
        <f t="shared" si="16"/>
        <v>119659.203125</v>
      </c>
    </row>
    <row r="33" spans="1:59" s="211" customFormat="1" x14ac:dyDescent="0.25">
      <c r="A33" s="204"/>
      <c r="B33" s="49" t="s">
        <v>97</v>
      </c>
      <c r="C33" s="49" t="s">
        <v>93</v>
      </c>
      <c r="D33" s="49" t="s">
        <v>65</v>
      </c>
      <c r="E33" s="71">
        <v>1</v>
      </c>
      <c r="F33" s="205">
        <v>21</v>
      </c>
      <c r="G33" s="49" t="s">
        <v>103</v>
      </c>
      <c r="H33" s="71">
        <v>2.2000000000000002</v>
      </c>
      <c r="I33" s="49">
        <v>90609</v>
      </c>
      <c r="J33" s="206">
        <f t="shared" si="0"/>
        <v>113261.25</v>
      </c>
      <c r="K33" s="49">
        <f t="shared" ref="K33:K34" si="23">J33*30%</f>
        <v>33978.375</v>
      </c>
      <c r="L33" s="49"/>
      <c r="M33" s="49"/>
      <c r="N33" s="49">
        <v>2</v>
      </c>
      <c r="O33" s="49">
        <v>2</v>
      </c>
      <c r="P33" s="49">
        <v>2</v>
      </c>
      <c r="Q33" s="49">
        <v>2</v>
      </c>
      <c r="R33" s="49"/>
      <c r="S33" s="206">
        <f t="shared" si="6"/>
        <v>8</v>
      </c>
      <c r="T33" s="49">
        <v>3</v>
      </c>
      <c r="U33" s="49">
        <v>3</v>
      </c>
      <c r="V33" s="49">
        <v>3</v>
      </c>
      <c r="W33" s="49">
        <v>3</v>
      </c>
      <c r="X33" s="49">
        <v>3</v>
      </c>
      <c r="Y33" s="49"/>
      <c r="Z33" s="49"/>
      <c r="AA33" s="206">
        <f t="shared" si="7"/>
        <v>15</v>
      </c>
      <c r="AB33" s="49"/>
      <c r="AC33" s="49"/>
      <c r="AD33" s="49">
        <v>3</v>
      </c>
      <c r="AE33" s="49"/>
      <c r="AF33" s="49">
        <v>1</v>
      </c>
      <c r="AG33" s="206">
        <f t="shared" si="8"/>
        <v>4</v>
      </c>
      <c r="AH33" s="206">
        <f t="shared" si="9"/>
        <v>56630.625</v>
      </c>
      <c r="AI33" s="206">
        <f t="shared" si="10"/>
        <v>106182.421875</v>
      </c>
      <c r="AJ33" s="207">
        <f t="shared" si="11"/>
        <v>28315.3125</v>
      </c>
      <c r="AK33" s="49">
        <v>4</v>
      </c>
      <c r="AL33" s="49">
        <v>1572</v>
      </c>
      <c r="AM33" s="49">
        <v>7.5</v>
      </c>
      <c r="AN33" s="49">
        <v>3315</v>
      </c>
      <c r="AO33" s="49">
        <v>1.5</v>
      </c>
      <c r="AP33" s="49">
        <v>589</v>
      </c>
      <c r="AQ33" s="208">
        <f t="shared" si="20"/>
        <v>0</v>
      </c>
      <c r="AR33" s="208">
        <f t="shared" si="21"/>
        <v>196604.359375</v>
      </c>
      <c r="AS33" s="49">
        <v>4424</v>
      </c>
      <c r="AT33" s="49"/>
      <c r="AU33" s="49"/>
      <c r="AV33" s="49"/>
      <c r="AW33" s="77">
        <f t="shared" si="12"/>
        <v>143346.26953125</v>
      </c>
      <c r="AX33" s="49"/>
      <c r="AY33" s="206">
        <f t="shared" si="13"/>
        <v>33447.462890625</v>
      </c>
      <c r="AZ33" s="206">
        <f t="shared" si="3"/>
        <v>57338.5078125</v>
      </c>
      <c r="BA33" s="77">
        <f t="shared" si="14"/>
        <v>43003.880859375</v>
      </c>
      <c r="BB33" s="49">
        <f t="shared" si="22"/>
        <v>100342.388671875</v>
      </c>
      <c r="BC33" s="49"/>
      <c r="BD33" s="49">
        <v>1326</v>
      </c>
      <c r="BE33" s="207">
        <f t="shared" si="5"/>
        <v>336144.2109375</v>
      </c>
      <c r="BF33" s="209">
        <f t="shared" si="15"/>
        <v>143346.26953125</v>
      </c>
      <c r="BG33" s="210">
        <f t="shared" si="16"/>
        <v>479490.48046875</v>
      </c>
    </row>
    <row r="34" spans="1:59" s="211" customFormat="1" x14ac:dyDescent="0.25">
      <c r="A34" s="204"/>
      <c r="B34" s="49" t="s">
        <v>97</v>
      </c>
      <c r="C34" s="49" t="s">
        <v>121</v>
      </c>
      <c r="D34" s="49" t="s">
        <v>65</v>
      </c>
      <c r="E34" s="71" t="s">
        <v>117</v>
      </c>
      <c r="F34" s="205">
        <v>21</v>
      </c>
      <c r="G34" s="49" t="s">
        <v>103</v>
      </c>
      <c r="H34" s="71">
        <v>2.1</v>
      </c>
      <c r="I34" s="49">
        <v>94148</v>
      </c>
      <c r="J34" s="206">
        <f t="shared" si="0"/>
        <v>117685</v>
      </c>
      <c r="K34" s="49">
        <f t="shared" si="23"/>
        <v>35305.5</v>
      </c>
      <c r="L34" s="49"/>
      <c r="M34" s="49"/>
      <c r="N34" s="49"/>
      <c r="O34" s="49">
        <v>1</v>
      </c>
      <c r="P34" s="49">
        <v>1</v>
      </c>
      <c r="Q34" s="49">
        <v>1</v>
      </c>
      <c r="R34" s="49"/>
      <c r="S34" s="206">
        <f t="shared" si="6"/>
        <v>3</v>
      </c>
      <c r="T34" s="49"/>
      <c r="U34" s="49">
        <v>1</v>
      </c>
      <c r="V34" s="49"/>
      <c r="W34" s="49"/>
      <c r="X34" s="49"/>
      <c r="Y34" s="49"/>
      <c r="Z34" s="49"/>
      <c r="AA34" s="206">
        <f t="shared" si="7"/>
        <v>1</v>
      </c>
      <c r="AB34" s="49"/>
      <c r="AC34" s="49"/>
      <c r="AD34" s="49"/>
      <c r="AE34" s="49"/>
      <c r="AF34" s="49"/>
      <c r="AG34" s="206">
        <f t="shared" si="8"/>
        <v>0</v>
      </c>
      <c r="AH34" s="206">
        <f t="shared" si="9"/>
        <v>22065.9375</v>
      </c>
      <c r="AI34" s="206">
        <f t="shared" si="10"/>
        <v>7355.3125</v>
      </c>
      <c r="AJ34" s="207">
        <f t="shared" si="11"/>
        <v>0</v>
      </c>
      <c r="AK34" s="49"/>
      <c r="AL34" s="49"/>
      <c r="AM34" s="49"/>
      <c r="AN34" s="49"/>
      <c r="AO34" s="49"/>
      <c r="AP34" s="49"/>
      <c r="AQ34" s="208">
        <f t="shared" si="20"/>
        <v>0</v>
      </c>
      <c r="AR34" s="208">
        <f t="shared" si="21"/>
        <v>29421.25</v>
      </c>
      <c r="AS34" s="49"/>
      <c r="AT34" s="49"/>
      <c r="AU34" s="49"/>
      <c r="AV34" s="49"/>
      <c r="AW34" s="77">
        <f t="shared" si="12"/>
        <v>22065.9375</v>
      </c>
      <c r="AX34" s="49"/>
      <c r="AY34" s="206">
        <f t="shared" si="13"/>
        <v>5148.71875</v>
      </c>
      <c r="AZ34" s="206">
        <f t="shared" si="3"/>
        <v>8826.375</v>
      </c>
      <c r="BA34" s="77">
        <f t="shared" si="14"/>
        <v>6619.78125</v>
      </c>
      <c r="BB34" s="49">
        <f t="shared" si="22"/>
        <v>15446.15625</v>
      </c>
      <c r="BC34" s="49"/>
      <c r="BD34" s="49"/>
      <c r="BE34" s="207">
        <f t="shared" si="5"/>
        <v>50016.125</v>
      </c>
      <c r="BF34" s="209">
        <f t="shared" si="15"/>
        <v>22065.9375</v>
      </c>
      <c r="BG34" s="210">
        <f t="shared" si="16"/>
        <v>72082.0625</v>
      </c>
    </row>
    <row r="35" spans="1:59" x14ac:dyDescent="0.25">
      <c r="A35" s="42"/>
      <c r="B35" s="22" t="s">
        <v>147</v>
      </c>
      <c r="C35" s="22" t="s">
        <v>118</v>
      </c>
      <c r="D35" s="22" t="s">
        <v>65</v>
      </c>
      <c r="E35" s="71"/>
      <c r="F35" s="43">
        <v>8</v>
      </c>
      <c r="G35" s="22" t="s">
        <v>103</v>
      </c>
      <c r="H35" s="45">
        <v>2.4</v>
      </c>
      <c r="I35" s="22">
        <v>76628</v>
      </c>
      <c r="J35" s="77">
        <f t="shared" si="0"/>
        <v>95785</v>
      </c>
      <c r="K35" s="22">
        <f t="shared" ref="K35:K41" si="24">J35*30%</f>
        <v>28735.5</v>
      </c>
      <c r="L35" s="22"/>
      <c r="M35" s="22"/>
      <c r="N35" s="22"/>
      <c r="O35" s="22"/>
      <c r="P35" s="22"/>
      <c r="Q35" s="22"/>
      <c r="R35" s="22"/>
      <c r="S35" s="77">
        <f t="shared" si="6"/>
        <v>0</v>
      </c>
      <c r="T35" s="46"/>
      <c r="U35" s="46">
        <v>5</v>
      </c>
      <c r="V35" s="46">
        <v>5</v>
      </c>
      <c r="W35" s="46">
        <v>5</v>
      </c>
      <c r="X35" s="46">
        <v>5</v>
      </c>
      <c r="Y35" s="46"/>
      <c r="Z35" s="46"/>
      <c r="AA35" s="79">
        <f t="shared" si="7"/>
        <v>20</v>
      </c>
      <c r="AB35" s="22"/>
      <c r="AC35" s="22"/>
      <c r="AD35" s="22">
        <v>4</v>
      </c>
      <c r="AE35" s="22"/>
      <c r="AF35" s="22"/>
      <c r="AG35" s="77">
        <f t="shared" si="8"/>
        <v>4</v>
      </c>
      <c r="AH35" s="77">
        <f t="shared" si="9"/>
        <v>0</v>
      </c>
      <c r="AI35" s="77">
        <f t="shared" si="10"/>
        <v>119731.25</v>
      </c>
      <c r="AJ35" s="80">
        <f t="shared" si="11"/>
        <v>23946.25</v>
      </c>
      <c r="AK35" s="22"/>
      <c r="AL35" s="22"/>
      <c r="AM35" s="22">
        <v>10</v>
      </c>
      <c r="AN35" s="22">
        <v>4420</v>
      </c>
      <c r="AO35" s="22">
        <v>2</v>
      </c>
      <c r="AP35" s="22">
        <v>884</v>
      </c>
      <c r="AQ35" s="47">
        <f t="shared" si="20"/>
        <v>0</v>
      </c>
      <c r="AR35" s="47">
        <f t="shared" si="21"/>
        <v>148981.5</v>
      </c>
      <c r="AS35" s="22">
        <v>5309</v>
      </c>
      <c r="AT35" s="22"/>
      <c r="AU35" s="22"/>
      <c r="AV35" s="22"/>
      <c r="AW35" s="77">
        <f t="shared" si="12"/>
        <v>107758.125</v>
      </c>
      <c r="AX35" s="22"/>
      <c r="AY35" s="77">
        <f t="shared" si="13"/>
        <v>25143.5625</v>
      </c>
      <c r="AZ35" s="181">
        <f t="shared" si="3"/>
        <v>43103.25</v>
      </c>
      <c r="BA35" s="181">
        <f t="shared" si="14"/>
        <v>32327.4375</v>
      </c>
      <c r="BB35" s="182">
        <f t="shared" si="22"/>
        <v>75430.6875</v>
      </c>
      <c r="BC35" s="22"/>
      <c r="BD35" s="22">
        <v>2210</v>
      </c>
      <c r="BE35" s="80">
        <f t="shared" si="5"/>
        <v>257074.75</v>
      </c>
      <c r="BF35" s="81">
        <f t="shared" si="15"/>
        <v>107758.125</v>
      </c>
      <c r="BG35" s="82">
        <f t="shared" si="16"/>
        <v>364832.875</v>
      </c>
    </row>
    <row r="36" spans="1:59" x14ac:dyDescent="0.25">
      <c r="A36" s="42"/>
      <c r="B36" s="22" t="s">
        <v>82</v>
      </c>
      <c r="C36" s="22" t="s">
        <v>122</v>
      </c>
      <c r="D36" s="22" t="s">
        <v>102</v>
      </c>
      <c r="E36" s="45" t="s">
        <v>126</v>
      </c>
      <c r="F36" s="43">
        <v>10</v>
      </c>
      <c r="G36" s="22" t="s">
        <v>103</v>
      </c>
      <c r="H36" s="45">
        <v>2.2000000000000002</v>
      </c>
      <c r="I36" s="22">
        <v>86007</v>
      </c>
      <c r="J36" s="77">
        <f t="shared" si="0"/>
        <v>107508.75</v>
      </c>
      <c r="K36" s="22">
        <f t="shared" si="24"/>
        <v>32252.625</v>
      </c>
      <c r="L36" s="22"/>
      <c r="M36" s="22"/>
      <c r="N36" s="22"/>
      <c r="O36" s="22"/>
      <c r="P36" s="22">
        <v>18</v>
      </c>
      <c r="Q36" s="22">
        <v>6</v>
      </c>
      <c r="R36" s="22"/>
      <c r="S36" s="77">
        <f t="shared" si="6"/>
        <v>24</v>
      </c>
      <c r="T36" s="46"/>
      <c r="U36" s="46"/>
      <c r="V36" s="46"/>
      <c r="W36" s="46"/>
      <c r="X36" s="46"/>
      <c r="Y36" s="46"/>
      <c r="Z36" s="22"/>
      <c r="AA36" s="79">
        <f t="shared" si="7"/>
        <v>0</v>
      </c>
      <c r="AB36" s="22"/>
      <c r="AC36" s="22"/>
      <c r="AD36" s="22"/>
      <c r="AE36" s="22"/>
      <c r="AF36" s="22"/>
      <c r="AG36" s="77">
        <f t="shared" si="8"/>
        <v>0</v>
      </c>
      <c r="AH36" s="77">
        <f t="shared" si="9"/>
        <v>161263.125</v>
      </c>
      <c r="AI36" s="77">
        <f t="shared" si="10"/>
        <v>0</v>
      </c>
      <c r="AJ36" s="80">
        <f t="shared" si="11"/>
        <v>0</v>
      </c>
      <c r="AK36" s="22"/>
      <c r="AL36" s="22">
        <v>3539</v>
      </c>
      <c r="AM36" s="22"/>
      <c r="AN36" s="22"/>
      <c r="AO36" s="22"/>
      <c r="AP36" s="22"/>
      <c r="AQ36" s="47">
        <f t="shared" si="20"/>
        <v>0</v>
      </c>
      <c r="AR36" s="47">
        <f t="shared" si="21"/>
        <v>164802.125</v>
      </c>
      <c r="AS36" s="22">
        <v>4424</v>
      </c>
      <c r="AT36" s="22"/>
      <c r="AU36" s="22"/>
      <c r="AV36" s="22"/>
      <c r="AW36" s="77">
        <f t="shared" si="12"/>
        <v>120947.34375</v>
      </c>
      <c r="AX36" s="22"/>
      <c r="AY36" s="77">
        <f t="shared" si="13"/>
        <v>28221.046875</v>
      </c>
      <c r="AZ36" s="181">
        <f t="shared" si="3"/>
        <v>48378.9375</v>
      </c>
      <c r="BA36" s="181">
        <f t="shared" si="14"/>
        <v>36284.203125</v>
      </c>
      <c r="BB36" s="182">
        <f t="shared" si="22"/>
        <v>84663.140625</v>
      </c>
      <c r="BC36" s="22"/>
      <c r="BD36" s="22"/>
      <c r="BE36" s="80">
        <f t="shared" si="5"/>
        <v>282110.3125</v>
      </c>
      <c r="BF36" s="81">
        <f t="shared" si="15"/>
        <v>120947.34375</v>
      </c>
      <c r="BG36" s="82">
        <f t="shared" si="16"/>
        <v>403057.65625</v>
      </c>
    </row>
    <row r="37" spans="1:59" x14ac:dyDescent="0.25">
      <c r="A37" s="42"/>
      <c r="B37" s="22" t="s">
        <v>148</v>
      </c>
      <c r="C37" s="22" t="s">
        <v>149</v>
      </c>
      <c r="D37" s="22" t="s">
        <v>65</v>
      </c>
      <c r="E37" s="45"/>
      <c r="F37" s="43">
        <v>19</v>
      </c>
      <c r="G37" s="22" t="s">
        <v>103</v>
      </c>
      <c r="H37" s="22">
        <v>2.4</v>
      </c>
      <c r="I37" s="22">
        <v>81229</v>
      </c>
      <c r="J37" s="77">
        <f t="shared" si="0"/>
        <v>101536.25</v>
      </c>
      <c r="K37" s="22">
        <f t="shared" si="24"/>
        <v>30460.875</v>
      </c>
      <c r="L37" s="22"/>
      <c r="M37" s="22"/>
      <c r="N37" s="22"/>
      <c r="O37" s="22"/>
      <c r="P37" s="22"/>
      <c r="Q37" s="22"/>
      <c r="R37" s="22"/>
      <c r="S37" s="77">
        <f t="shared" si="6"/>
        <v>0</v>
      </c>
      <c r="T37" s="46"/>
      <c r="U37" s="46">
        <v>2</v>
      </c>
      <c r="V37" s="46">
        <v>3</v>
      </c>
      <c r="W37" s="46">
        <v>4</v>
      </c>
      <c r="X37" s="46">
        <v>4</v>
      </c>
      <c r="Y37" s="46"/>
      <c r="Z37" s="22">
        <v>1</v>
      </c>
      <c r="AA37" s="79">
        <f t="shared" si="7"/>
        <v>14</v>
      </c>
      <c r="AB37" s="22"/>
      <c r="AC37" s="22"/>
      <c r="AD37" s="22">
        <v>2</v>
      </c>
      <c r="AE37" s="22"/>
      <c r="AF37" s="22"/>
      <c r="AG37" s="77">
        <f t="shared" si="8"/>
        <v>2</v>
      </c>
      <c r="AH37" s="77">
        <f t="shared" si="9"/>
        <v>0</v>
      </c>
      <c r="AI37" s="77">
        <f t="shared" si="10"/>
        <v>88844.21875</v>
      </c>
      <c r="AJ37" s="80">
        <f t="shared" si="11"/>
        <v>12692.03125</v>
      </c>
      <c r="AK37" s="22"/>
      <c r="AL37" s="22"/>
      <c r="AM37" s="22">
        <v>6.5</v>
      </c>
      <c r="AN37" s="22">
        <v>2873</v>
      </c>
      <c r="AO37" s="22">
        <v>1</v>
      </c>
      <c r="AP37" s="22">
        <v>442</v>
      </c>
      <c r="AQ37" s="47">
        <f t="shared" si="20"/>
        <v>0</v>
      </c>
      <c r="AR37" s="47">
        <f t="shared" si="21"/>
        <v>104851.25</v>
      </c>
      <c r="AS37" s="22">
        <v>10618</v>
      </c>
      <c r="AT37" s="22"/>
      <c r="AU37" s="22"/>
      <c r="AV37" s="22"/>
      <c r="AW37" s="77">
        <f t="shared" si="12"/>
        <v>76152.1875</v>
      </c>
      <c r="AX37" s="22"/>
      <c r="AY37" s="77">
        <f t="shared" si="13"/>
        <v>17768.84375</v>
      </c>
      <c r="AZ37" s="181">
        <f t="shared" si="3"/>
        <v>30460.875</v>
      </c>
      <c r="BA37" s="181">
        <f t="shared" si="14"/>
        <v>22845.65625</v>
      </c>
      <c r="BB37" s="182">
        <f t="shared" si="22"/>
        <v>53306.53125</v>
      </c>
      <c r="BC37" s="22"/>
      <c r="BD37" s="22">
        <v>1326</v>
      </c>
      <c r="BE37" s="80">
        <f t="shared" si="5"/>
        <v>187870.625</v>
      </c>
      <c r="BF37" s="81">
        <f t="shared" si="15"/>
        <v>76152.1875</v>
      </c>
      <c r="BG37" s="82">
        <f t="shared" si="16"/>
        <v>264022.8125</v>
      </c>
    </row>
    <row r="38" spans="1:59" x14ac:dyDescent="0.25">
      <c r="A38" s="42"/>
      <c r="B38" s="22" t="s">
        <v>186</v>
      </c>
      <c r="C38" s="22" t="s">
        <v>192</v>
      </c>
      <c r="D38" s="22" t="s">
        <v>65</v>
      </c>
      <c r="E38" s="45"/>
      <c r="F38" s="43">
        <v>32</v>
      </c>
      <c r="G38" s="22" t="s">
        <v>103</v>
      </c>
      <c r="H38" s="22">
        <v>2.4</v>
      </c>
      <c r="I38" s="22">
        <v>83707</v>
      </c>
      <c r="J38" s="77">
        <f t="shared" si="0"/>
        <v>104633.75</v>
      </c>
      <c r="K38" s="22">
        <f t="shared" si="24"/>
        <v>31390.125</v>
      </c>
      <c r="L38" s="22"/>
      <c r="M38" s="22"/>
      <c r="N38" s="22"/>
      <c r="O38" s="22"/>
      <c r="P38" s="22"/>
      <c r="Q38" s="22"/>
      <c r="R38" s="22"/>
      <c r="S38" s="77">
        <f t="shared" si="6"/>
        <v>0</v>
      </c>
      <c r="T38" s="46">
        <v>5</v>
      </c>
      <c r="U38" s="46"/>
      <c r="V38" s="46"/>
      <c r="W38" s="46"/>
      <c r="X38" s="46"/>
      <c r="Y38" s="46"/>
      <c r="Z38" s="22"/>
      <c r="AA38" s="79">
        <f t="shared" si="7"/>
        <v>5</v>
      </c>
      <c r="AB38" s="22"/>
      <c r="AC38" s="22"/>
      <c r="AD38" s="22"/>
      <c r="AE38" s="22"/>
      <c r="AF38" s="22"/>
      <c r="AG38" s="77">
        <f t="shared" si="8"/>
        <v>0</v>
      </c>
      <c r="AH38" s="77">
        <f t="shared" si="9"/>
        <v>0</v>
      </c>
      <c r="AI38" s="77">
        <f t="shared" si="10"/>
        <v>32698.046875</v>
      </c>
      <c r="AJ38" s="80">
        <f t="shared" si="11"/>
        <v>0</v>
      </c>
      <c r="AK38" s="22"/>
      <c r="AL38" s="22"/>
      <c r="AM38" s="22">
        <v>2.5</v>
      </c>
      <c r="AN38" s="22">
        <v>1105</v>
      </c>
      <c r="AO38" s="22"/>
      <c r="AP38" s="22"/>
      <c r="AQ38" s="47">
        <f t="shared" si="20"/>
        <v>0</v>
      </c>
      <c r="AR38" s="47">
        <f t="shared" si="21"/>
        <v>33803.046875</v>
      </c>
      <c r="AS38" s="22">
        <v>5309</v>
      </c>
      <c r="AT38" s="22"/>
      <c r="AU38" s="22"/>
      <c r="AV38" s="22"/>
      <c r="AW38" s="77">
        <f t="shared" si="12"/>
        <v>24523.53515625</v>
      </c>
      <c r="AX38" s="22"/>
      <c r="AY38" s="77">
        <f t="shared" si="13"/>
        <v>5722.158203125</v>
      </c>
      <c r="AZ38" s="181">
        <f t="shared" si="3"/>
        <v>9809.4140625</v>
      </c>
      <c r="BA38" s="181">
        <f t="shared" si="14"/>
        <v>7357.060546875</v>
      </c>
      <c r="BB38" s="182">
        <f t="shared" si="22"/>
        <v>17166.474609375</v>
      </c>
      <c r="BC38" s="22"/>
      <c r="BD38" s="22">
        <v>2210</v>
      </c>
      <c r="BE38" s="80">
        <f t="shared" si="5"/>
        <v>64210.6796875</v>
      </c>
      <c r="BF38" s="81">
        <f t="shared" si="15"/>
        <v>24523.53515625</v>
      </c>
      <c r="BG38" s="82">
        <f t="shared" si="16"/>
        <v>88734.21484375</v>
      </c>
    </row>
    <row r="39" spans="1:59" s="48" customFormat="1" x14ac:dyDescent="0.25">
      <c r="A39" s="42"/>
      <c r="B39" s="22" t="s">
        <v>70</v>
      </c>
      <c r="C39" s="49" t="s">
        <v>68</v>
      </c>
      <c r="D39" s="22" t="s">
        <v>69</v>
      </c>
      <c r="E39" s="45"/>
      <c r="F39" s="43">
        <v>22</v>
      </c>
      <c r="G39" s="22" t="s">
        <v>103</v>
      </c>
      <c r="H39" s="22">
        <v>2.4</v>
      </c>
      <c r="I39" s="22">
        <v>82645</v>
      </c>
      <c r="J39" s="77">
        <f t="shared" si="0"/>
        <v>103306.25</v>
      </c>
      <c r="K39" s="22">
        <f t="shared" si="24"/>
        <v>30991.875</v>
      </c>
      <c r="L39" s="22"/>
      <c r="M39" s="22"/>
      <c r="N39" s="22"/>
      <c r="O39" s="22"/>
      <c r="P39" s="22"/>
      <c r="Q39" s="22"/>
      <c r="R39" s="22"/>
      <c r="S39" s="77">
        <f t="shared" si="6"/>
        <v>0</v>
      </c>
      <c r="T39" s="46">
        <v>3</v>
      </c>
      <c r="U39" s="46">
        <v>5</v>
      </c>
      <c r="V39" s="46">
        <v>5</v>
      </c>
      <c r="W39" s="46">
        <v>5</v>
      </c>
      <c r="X39" s="46">
        <v>5</v>
      </c>
      <c r="Y39" s="46"/>
      <c r="Z39" s="46"/>
      <c r="AA39" s="79">
        <f t="shared" si="7"/>
        <v>23</v>
      </c>
      <c r="AB39" s="22"/>
      <c r="AC39" s="22"/>
      <c r="AD39" s="22">
        <v>5</v>
      </c>
      <c r="AE39" s="22"/>
      <c r="AF39" s="22"/>
      <c r="AG39" s="77">
        <f t="shared" si="8"/>
        <v>5</v>
      </c>
      <c r="AH39" s="77">
        <f t="shared" si="9"/>
        <v>0</v>
      </c>
      <c r="AI39" s="77">
        <f t="shared" si="10"/>
        <v>148502.734375</v>
      </c>
      <c r="AJ39" s="80">
        <f t="shared" si="11"/>
        <v>32283.203125</v>
      </c>
      <c r="AK39" s="22"/>
      <c r="AL39" s="22"/>
      <c r="AM39" s="22">
        <v>11.5</v>
      </c>
      <c r="AN39" s="22">
        <v>6359</v>
      </c>
      <c r="AO39" s="22">
        <v>2.5</v>
      </c>
      <c r="AP39" s="22">
        <v>1382.5</v>
      </c>
      <c r="AQ39" s="47">
        <f t="shared" si="20"/>
        <v>0</v>
      </c>
      <c r="AR39" s="47">
        <f t="shared" si="21"/>
        <v>188527.4375</v>
      </c>
      <c r="AS39" s="22">
        <v>5309</v>
      </c>
      <c r="AT39" s="22"/>
      <c r="AU39" s="22"/>
      <c r="AV39" s="22"/>
      <c r="AW39" s="77">
        <f t="shared" si="12"/>
        <v>135589.453125</v>
      </c>
      <c r="AX39" s="22"/>
      <c r="AY39" s="77">
        <f t="shared" si="13"/>
        <v>31637.5390625</v>
      </c>
      <c r="AZ39" s="77">
        <f t="shared" si="3"/>
        <v>54235.78125</v>
      </c>
      <c r="BA39" s="181">
        <f t="shared" si="14"/>
        <v>40676.8359375</v>
      </c>
      <c r="BB39" s="22">
        <f t="shared" si="22"/>
        <v>94912.6171875</v>
      </c>
      <c r="BC39" s="22"/>
      <c r="BD39" s="22">
        <v>2210</v>
      </c>
      <c r="BE39" s="80">
        <f t="shared" si="5"/>
        <v>322596.59375</v>
      </c>
      <c r="BF39" s="81">
        <f t="shared" si="15"/>
        <v>135589.453125</v>
      </c>
      <c r="BG39" s="82">
        <f t="shared" si="16"/>
        <v>458186.046875</v>
      </c>
    </row>
    <row r="40" spans="1:59" x14ac:dyDescent="0.25">
      <c r="A40" s="42"/>
      <c r="B40" s="22" t="s">
        <v>120</v>
      </c>
      <c r="C40" s="49" t="s">
        <v>67</v>
      </c>
      <c r="D40" s="22" t="s">
        <v>109</v>
      </c>
      <c r="E40" s="45" t="s">
        <v>132</v>
      </c>
      <c r="F40" s="43">
        <v>6</v>
      </c>
      <c r="G40" s="22" t="s">
        <v>103</v>
      </c>
      <c r="H40" s="22">
        <v>4.3</v>
      </c>
      <c r="I40" s="22">
        <v>69169</v>
      </c>
      <c r="J40" s="77">
        <f t="shared" si="0"/>
        <v>86461.25</v>
      </c>
      <c r="K40" s="22">
        <f t="shared" si="24"/>
        <v>25938.375</v>
      </c>
      <c r="L40" s="22"/>
      <c r="M40" s="22"/>
      <c r="N40" s="22">
        <v>21</v>
      </c>
      <c r="O40" s="22"/>
      <c r="P40" s="22"/>
      <c r="Q40" s="22"/>
      <c r="R40" s="22"/>
      <c r="S40" s="77">
        <f t="shared" si="6"/>
        <v>21</v>
      </c>
      <c r="T40" s="46"/>
      <c r="U40" s="46"/>
      <c r="V40" s="46"/>
      <c r="W40" s="46"/>
      <c r="X40" s="46"/>
      <c r="Y40" s="46"/>
      <c r="Z40" s="46"/>
      <c r="AA40" s="79">
        <f t="shared" si="7"/>
        <v>0</v>
      </c>
      <c r="AB40" s="22"/>
      <c r="AC40" s="22"/>
      <c r="AD40" s="22"/>
      <c r="AE40" s="22"/>
      <c r="AF40" s="22"/>
      <c r="AG40" s="77">
        <f t="shared" si="8"/>
        <v>0</v>
      </c>
      <c r="AH40" s="77">
        <f t="shared" si="9"/>
        <v>113480.390625</v>
      </c>
      <c r="AI40" s="77">
        <f t="shared" si="10"/>
        <v>0</v>
      </c>
      <c r="AJ40" s="80">
        <f t="shared" si="11"/>
        <v>0</v>
      </c>
      <c r="AK40" s="22"/>
      <c r="AL40" s="22">
        <v>3539</v>
      </c>
      <c r="AM40" s="22"/>
      <c r="AN40" s="22"/>
      <c r="AO40" s="22"/>
      <c r="AP40" s="22"/>
      <c r="AQ40" s="47">
        <f t="shared" si="20"/>
        <v>0</v>
      </c>
      <c r="AR40" s="47">
        <f t="shared" si="21"/>
        <v>117019.390625</v>
      </c>
      <c r="AS40" s="22">
        <v>4424</v>
      </c>
      <c r="AT40" s="22"/>
      <c r="AU40" s="22"/>
      <c r="AV40" s="22"/>
      <c r="AW40" s="77">
        <f t="shared" si="12"/>
        <v>85110.29296875</v>
      </c>
      <c r="AX40" s="22"/>
      <c r="AY40" s="77">
        <f t="shared" si="13"/>
        <v>19859.068359375</v>
      </c>
      <c r="AZ40" s="181">
        <f t="shared" si="3"/>
        <v>34044.1171875</v>
      </c>
      <c r="BA40" s="181">
        <f t="shared" si="14"/>
        <v>25533.087890625</v>
      </c>
      <c r="BB40" s="182">
        <f t="shared" si="22"/>
        <v>59577.205078125</v>
      </c>
      <c r="BC40" s="22"/>
      <c r="BD40" s="22"/>
      <c r="BE40" s="80">
        <f t="shared" si="5"/>
        <v>200879.6640625</v>
      </c>
      <c r="BF40" s="81">
        <f t="shared" si="15"/>
        <v>85110.29296875</v>
      </c>
      <c r="BG40" s="82">
        <f t="shared" si="16"/>
        <v>285989.95703125</v>
      </c>
    </row>
    <row r="41" spans="1:59" x14ac:dyDescent="0.25">
      <c r="A41" s="42"/>
      <c r="B41" s="22" t="s">
        <v>123</v>
      </c>
      <c r="C41" s="22" t="s">
        <v>176</v>
      </c>
      <c r="D41" s="22" t="s">
        <v>69</v>
      </c>
      <c r="E41" s="45"/>
      <c r="F41" s="43">
        <v>11</v>
      </c>
      <c r="G41" s="22" t="s">
        <v>103</v>
      </c>
      <c r="H41" s="22">
        <v>2.4</v>
      </c>
      <c r="I41" s="22">
        <v>77513</v>
      </c>
      <c r="J41" s="77">
        <f t="shared" si="0"/>
        <v>96891.25</v>
      </c>
      <c r="K41" s="22">
        <f t="shared" si="24"/>
        <v>29067.375</v>
      </c>
      <c r="L41" s="22"/>
      <c r="M41" s="22"/>
      <c r="N41" s="22"/>
      <c r="O41" s="22"/>
      <c r="P41" s="22"/>
      <c r="Q41" s="22"/>
      <c r="R41" s="22"/>
      <c r="S41" s="77">
        <f t="shared" si="6"/>
        <v>0</v>
      </c>
      <c r="T41" s="46">
        <v>3</v>
      </c>
      <c r="U41" s="46"/>
      <c r="V41" s="46"/>
      <c r="W41" s="46"/>
      <c r="X41" s="46"/>
      <c r="Y41" s="46"/>
      <c r="Z41" s="22"/>
      <c r="AA41" s="79">
        <f t="shared" si="7"/>
        <v>3</v>
      </c>
      <c r="AB41" s="22"/>
      <c r="AC41" s="22"/>
      <c r="AD41" s="22"/>
      <c r="AE41" s="22"/>
      <c r="AF41" s="22"/>
      <c r="AG41" s="77">
        <f t="shared" si="8"/>
        <v>0</v>
      </c>
      <c r="AH41" s="77">
        <f t="shared" si="9"/>
        <v>0</v>
      </c>
      <c r="AI41" s="77">
        <f t="shared" si="10"/>
        <v>18167.109375</v>
      </c>
      <c r="AJ41" s="80">
        <f t="shared" si="11"/>
        <v>0</v>
      </c>
      <c r="AK41" s="22"/>
      <c r="AL41" s="22"/>
      <c r="AM41" s="22"/>
      <c r="AN41" s="22"/>
      <c r="AO41" s="22"/>
      <c r="AP41" s="22"/>
      <c r="AQ41" s="47">
        <f t="shared" si="20"/>
        <v>0</v>
      </c>
      <c r="AR41" s="47">
        <f t="shared" si="21"/>
        <v>18167.109375</v>
      </c>
      <c r="AS41" s="22"/>
      <c r="AT41" s="22"/>
      <c r="AU41" s="22"/>
      <c r="AV41" s="22"/>
      <c r="AW41" s="77">
        <f t="shared" si="12"/>
        <v>13625.33203125</v>
      </c>
      <c r="AX41" s="22"/>
      <c r="AY41" s="77">
        <f t="shared" si="13"/>
        <v>3179.244140625</v>
      </c>
      <c r="AZ41" s="181">
        <f t="shared" si="3"/>
        <v>5450.1328125</v>
      </c>
      <c r="BA41" s="181">
        <f t="shared" si="14"/>
        <v>4087.599609375</v>
      </c>
      <c r="BB41" s="182">
        <f t="shared" si="22"/>
        <v>9537.732421875</v>
      </c>
      <c r="BC41" s="22"/>
      <c r="BD41" s="22"/>
      <c r="BE41" s="80">
        <f t="shared" si="5"/>
        <v>30884.0859375</v>
      </c>
      <c r="BF41" s="81">
        <f t="shared" si="15"/>
        <v>13625.33203125</v>
      </c>
      <c r="BG41" s="82">
        <f t="shared" si="16"/>
        <v>44509.41796875</v>
      </c>
    </row>
    <row r="42" spans="1:59" x14ac:dyDescent="0.25">
      <c r="A42" s="42"/>
      <c r="B42" s="22" t="s">
        <v>185</v>
      </c>
      <c r="C42" s="49" t="s">
        <v>83</v>
      </c>
      <c r="D42" s="22" t="s">
        <v>109</v>
      </c>
      <c r="E42" s="45"/>
      <c r="F42" s="43">
        <v>0</v>
      </c>
      <c r="G42" s="22" t="s">
        <v>103</v>
      </c>
      <c r="H42" s="22">
        <v>4.4000000000000004</v>
      </c>
      <c r="I42" s="22">
        <v>58754</v>
      </c>
      <c r="J42" s="77">
        <f t="shared" si="0"/>
        <v>73442.5</v>
      </c>
      <c r="K42" s="22"/>
      <c r="L42" s="22"/>
      <c r="M42" s="22"/>
      <c r="N42" s="22"/>
      <c r="O42" s="22"/>
      <c r="P42" s="22"/>
      <c r="Q42" s="22"/>
      <c r="R42" s="22"/>
      <c r="S42" s="77">
        <f t="shared" si="6"/>
        <v>0</v>
      </c>
      <c r="T42" s="46"/>
      <c r="U42" s="46"/>
      <c r="V42" s="46"/>
      <c r="W42" s="46"/>
      <c r="X42" s="46"/>
      <c r="Y42" s="46"/>
      <c r="Z42" s="22"/>
      <c r="AA42" s="79">
        <f t="shared" si="7"/>
        <v>0</v>
      </c>
      <c r="AB42" s="22"/>
      <c r="AC42" s="22"/>
      <c r="AD42" s="22"/>
      <c r="AE42" s="22"/>
      <c r="AF42" s="22"/>
      <c r="AG42" s="77">
        <f t="shared" si="8"/>
        <v>0</v>
      </c>
      <c r="AH42" s="77">
        <f t="shared" si="9"/>
        <v>0</v>
      </c>
      <c r="AI42" s="77">
        <f t="shared" si="10"/>
        <v>0</v>
      </c>
      <c r="AJ42" s="80">
        <f t="shared" si="11"/>
        <v>0</v>
      </c>
      <c r="AK42" s="22"/>
      <c r="AL42" s="22"/>
      <c r="AM42" s="22"/>
      <c r="AN42" s="22"/>
      <c r="AO42" s="22"/>
      <c r="AP42" s="22"/>
      <c r="AQ42" s="47">
        <f t="shared" si="20"/>
        <v>0</v>
      </c>
      <c r="AR42" s="47">
        <f t="shared" si="21"/>
        <v>0</v>
      </c>
      <c r="AS42" s="22"/>
      <c r="AT42" s="22"/>
      <c r="AU42" s="22"/>
      <c r="AV42" s="22">
        <f>J42*0.5</f>
        <v>36721.25</v>
      </c>
      <c r="AW42" s="77">
        <f t="shared" si="12"/>
        <v>27540.9375</v>
      </c>
      <c r="AX42" s="22"/>
      <c r="AY42" s="77">
        <f t="shared" si="13"/>
        <v>6426.21875</v>
      </c>
      <c r="AZ42" s="181">
        <f t="shared" si="3"/>
        <v>0</v>
      </c>
      <c r="BA42" s="181">
        <f t="shared" si="14"/>
        <v>0</v>
      </c>
      <c r="BB42" s="182">
        <f t="shared" si="22"/>
        <v>0</v>
      </c>
      <c r="BC42" s="22"/>
      <c r="BD42" s="22"/>
      <c r="BE42" s="80">
        <f t="shared" si="5"/>
        <v>43147.46875</v>
      </c>
      <c r="BF42" s="81">
        <f t="shared" si="15"/>
        <v>27540.9375</v>
      </c>
      <c r="BG42" s="82">
        <f t="shared" si="16"/>
        <v>70688.40625</v>
      </c>
    </row>
    <row r="43" spans="1:59" x14ac:dyDescent="0.25">
      <c r="A43" s="42"/>
      <c r="B43" s="22" t="s">
        <v>185</v>
      </c>
      <c r="C43" s="22" t="s">
        <v>188</v>
      </c>
      <c r="D43" s="22" t="s">
        <v>109</v>
      </c>
      <c r="E43" s="45"/>
      <c r="F43" s="43">
        <v>0</v>
      </c>
      <c r="G43" s="22" t="s">
        <v>103</v>
      </c>
      <c r="H43" s="22">
        <v>4.4000000000000004</v>
      </c>
      <c r="I43" s="22">
        <v>58754</v>
      </c>
      <c r="J43" s="77">
        <f t="shared" si="0"/>
        <v>73442.5</v>
      </c>
      <c r="K43" s="22">
        <f t="shared" ref="K43:K45" si="25">J43*30%</f>
        <v>22032.75</v>
      </c>
      <c r="L43" s="22"/>
      <c r="M43" s="22"/>
      <c r="N43" s="22"/>
      <c r="O43" s="22"/>
      <c r="P43" s="22"/>
      <c r="Q43" s="22"/>
      <c r="R43" s="22"/>
      <c r="S43" s="77">
        <f t="shared" si="6"/>
        <v>0</v>
      </c>
      <c r="T43" s="46">
        <v>1</v>
      </c>
      <c r="U43" s="46">
        <v>1</v>
      </c>
      <c r="V43" s="46">
        <v>1</v>
      </c>
      <c r="W43" s="46">
        <v>1</v>
      </c>
      <c r="X43" s="46">
        <v>1</v>
      </c>
      <c r="Y43" s="46"/>
      <c r="Z43" s="46">
        <v>2</v>
      </c>
      <c r="AA43" s="79">
        <f t="shared" si="7"/>
        <v>7</v>
      </c>
      <c r="AB43" s="22"/>
      <c r="AC43" s="22"/>
      <c r="AD43" s="22">
        <v>1</v>
      </c>
      <c r="AE43" s="22"/>
      <c r="AF43" s="22"/>
      <c r="AG43" s="77">
        <f t="shared" si="8"/>
        <v>1</v>
      </c>
      <c r="AH43" s="77">
        <f t="shared" si="9"/>
        <v>0</v>
      </c>
      <c r="AI43" s="77">
        <f t="shared" si="10"/>
        <v>32131.09375</v>
      </c>
      <c r="AJ43" s="80">
        <f t="shared" si="11"/>
        <v>4590.15625</v>
      </c>
      <c r="AK43" s="22"/>
      <c r="AL43" s="22"/>
      <c r="AM43" s="22"/>
      <c r="AN43" s="22"/>
      <c r="AO43" s="22"/>
      <c r="AP43" s="22"/>
      <c r="AQ43" s="47">
        <f t="shared" si="20"/>
        <v>0</v>
      </c>
      <c r="AR43" s="47">
        <f t="shared" si="21"/>
        <v>36721.25</v>
      </c>
      <c r="AS43" s="22"/>
      <c r="AT43" s="22"/>
      <c r="AU43" s="22"/>
      <c r="AV43" s="22"/>
      <c r="AW43" s="77">
        <f t="shared" si="12"/>
        <v>27540.9375</v>
      </c>
      <c r="AX43" s="22"/>
      <c r="AY43" s="77">
        <f t="shared" si="13"/>
        <v>6426.21875</v>
      </c>
      <c r="AZ43" s="181">
        <f t="shared" si="3"/>
        <v>11016.375</v>
      </c>
      <c r="BA43" s="181">
        <f t="shared" si="14"/>
        <v>8262.28125</v>
      </c>
      <c r="BB43" s="182">
        <f t="shared" si="22"/>
        <v>19278.65625</v>
      </c>
      <c r="BC43" s="22"/>
      <c r="BD43" s="22">
        <v>442</v>
      </c>
      <c r="BE43" s="80">
        <f t="shared" si="5"/>
        <v>62868.125</v>
      </c>
      <c r="BF43" s="81">
        <f t="shared" si="15"/>
        <v>27540.9375</v>
      </c>
      <c r="BG43" s="82">
        <f t="shared" si="16"/>
        <v>90409.0625</v>
      </c>
    </row>
    <row r="44" spans="1:59" s="48" customFormat="1" x14ac:dyDescent="0.25">
      <c r="A44" s="42"/>
      <c r="B44" s="177" t="s">
        <v>85</v>
      </c>
      <c r="C44" s="22" t="s">
        <v>78</v>
      </c>
      <c r="D44" s="22" t="s">
        <v>73</v>
      </c>
      <c r="E44" s="45">
        <v>2</v>
      </c>
      <c r="F44" s="43">
        <v>8</v>
      </c>
      <c r="G44" s="22" t="s">
        <v>103</v>
      </c>
      <c r="H44" s="22">
        <v>4.3</v>
      </c>
      <c r="I44" s="22">
        <v>70257</v>
      </c>
      <c r="J44" s="77">
        <f t="shared" si="0"/>
        <v>87821.25</v>
      </c>
      <c r="K44" s="22">
        <f t="shared" si="25"/>
        <v>26346.375</v>
      </c>
      <c r="L44" s="22"/>
      <c r="M44" s="22"/>
      <c r="N44" s="22"/>
      <c r="O44" s="22"/>
      <c r="P44" s="22"/>
      <c r="Q44" s="22">
        <v>4</v>
      </c>
      <c r="R44" s="22"/>
      <c r="S44" s="77">
        <f t="shared" si="6"/>
        <v>4</v>
      </c>
      <c r="T44" s="46">
        <v>5</v>
      </c>
      <c r="U44" s="46">
        <v>5</v>
      </c>
      <c r="V44" s="46">
        <v>5</v>
      </c>
      <c r="W44" s="46">
        <v>5</v>
      </c>
      <c r="X44" s="46"/>
      <c r="Y44" s="46"/>
      <c r="Z44" s="22"/>
      <c r="AA44" s="79">
        <f t="shared" si="7"/>
        <v>20</v>
      </c>
      <c r="AB44" s="22"/>
      <c r="AC44" s="22"/>
      <c r="AD44" s="22">
        <v>5</v>
      </c>
      <c r="AE44" s="22"/>
      <c r="AF44" s="22"/>
      <c r="AG44" s="77">
        <f t="shared" si="8"/>
        <v>5</v>
      </c>
      <c r="AH44" s="77">
        <f t="shared" si="9"/>
        <v>21955.3125</v>
      </c>
      <c r="AI44" s="77">
        <f t="shared" si="10"/>
        <v>109776.5625</v>
      </c>
      <c r="AJ44" s="80">
        <f t="shared" si="11"/>
        <v>27444.140625</v>
      </c>
      <c r="AK44" s="22">
        <v>2</v>
      </c>
      <c r="AL44" s="22">
        <v>1106</v>
      </c>
      <c r="AM44" s="22">
        <v>10</v>
      </c>
      <c r="AN44" s="22">
        <v>5530</v>
      </c>
      <c r="AO44" s="22">
        <v>2.5</v>
      </c>
      <c r="AP44" s="22">
        <v>1382.5</v>
      </c>
      <c r="AQ44" s="47">
        <f t="shared" si="20"/>
        <v>0</v>
      </c>
      <c r="AR44" s="47">
        <f t="shared" si="21"/>
        <v>167194.515625</v>
      </c>
      <c r="AS44" s="22">
        <v>5309</v>
      </c>
      <c r="AT44" s="22"/>
      <c r="AU44" s="22"/>
      <c r="AV44" s="22"/>
      <c r="AW44" s="77">
        <f t="shared" si="12"/>
        <v>119382.01171875</v>
      </c>
      <c r="AX44" s="22"/>
      <c r="AY44" s="77">
        <f t="shared" si="13"/>
        <v>27855.802734375</v>
      </c>
      <c r="AZ44" s="77">
        <f t="shared" si="3"/>
        <v>47752.8046875</v>
      </c>
      <c r="BA44" s="181">
        <f t="shared" si="14"/>
        <v>35814.603515625</v>
      </c>
      <c r="BB44" s="22">
        <f t="shared" si="22"/>
        <v>83567.408203125</v>
      </c>
      <c r="BC44" s="22"/>
      <c r="BD44" s="22">
        <v>2210</v>
      </c>
      <c r="BE44" s="80">
        <f t="shared" si="5"/>
        <v>286136.7265625</v>
      </c>
      <c r="BF44" s="81">
        <f t="shared" si="15"/>
        <v>119382.01171875</v>
      </c>
      <c r="BG44" s="82">
        <f t="shared" si="16"/>
        <v>405518.73828125</v>
      </c>
    </row>
    <row r="45" spans="1:59" s="48" customFormat="1" x14ac:dyDescent="0.25">
      <c r="A45" s="42"/>
      <c r="B45" s="22" t="s">
        <v>74</v>
      </c>
      <c r="C45" s="49" t="s">
        <v>75</v>
      </c>
      <c r="D45" s="22" t="s">
        <v>69</v>
      </c>
      <c r="E45" s="45" t="s">
        <v>100</v>
      </c>
      <c r="F45" s="43">
        <v>20</v>
      </c>
      <c r="G45" s="22" t="s">
        <v>103</v>
      </c>
      <c r="H45" s="22">
        <v>2.1</v>
      </c>
      <c r="I45" s="22">
        <v>94148</v>
      </c>
      <c r="J45" s="77">
        <f t="shared" si="0"/>
        <v>117685</v>
      </c>
      <c r="K45" s="22">
        <f t="shared" si="25"/>
        <v>35305.5</v>
      </c>
      <c r="L45" s="22"/>
      <c r="M45" s="22"/>
      <c r="N45" s="22">
        <v>3</v>
      </c>
      <c r="O45" s="22"/>
      <c r="P45" s="22"/>
      <c r="Q45" s="22">
        <v>3</v>
      </c>
      <c r="R45" s="22"/>
      <c r="S45" s="77">
        <f t="shared" si="6"/>
        <v>6</v>
      </c>
      <c r="T45" s="46"/>
      <c r="U45" s="46"/>
      <c r="V45" s="46">
        <v>3</v>
      </c>
      <c r="W45" s="46"/>
      <c r="X45" s="46"/>
      <c r="Y45" s="46"/>
      <c r="Z45" s="46"/>
      <c r="AA45" s="79">
        <f t="shared" si="7"/>
        <v>3</v>
      </c>
      <c r="AB45" s="22"/>
      <c r="AC45" s="22"/>
      <c r="AD45" s="22">
        <v>3</v>
      </c>
      <c r="AE45" s="22"/>
      <c r="AF45" s="22">
        <v>1</v>
      </c>
      <c r="AG45" s="77">
        <f t="shared" si="8"/>
        <v>4</v>
      </c>
      <c r="AH45" s="77">
        <f t="shared" si="9"/>
        <v>44131.875</v>
      </c>
      <c r="AI45" s="77">
        <f t="shared" si="10"/>
        <v>22065.9375</v>
      </c>
      <c r="AJ45" s="80">
        <f t="shared" si="11"/>
        <v>29421.25</v>
      </c>
      <c r="AK45" s="22"/>
      <c r="AL45" s="22"/>
      <c r="AM45" s="22"/>
      <c r="AN45" s="22"/>
      <c r="AO45" s="22"/>
      <c r="AP45" s="22"/>
      <c r="AQ45" s="47">
        <f t="shared" si="20"/>
        <v>0</v>
      </c>
      <c r="AR45" s="47">
        <f t="shared" si="21"/>
        <v>95619.0625</v>
      </c>
      <c r="AS45" s="22"/>
      <c r="AT45" s="22"/>
      <c r="AU45" s="22"/>
      <c r="AV45" s="22"/>
      <c r="AW45" s="77">
        <f t="shared" si="12"/>
        <v>71714.296875</v>
      </c>
      <c r="AX45" s="22"/>
      <c r="AY45" s="77">
        <f t="shared" si="13"/>
        <v>16733.3359375</v>
      </c>
      <c r="AZ45" s="77">
        <f t="shared" si="3"/>
        <v>28685.71875</v>
      </c>
      <c r="BA45" s="181">
        <f t="shared" si="14"/>
        <v>21514.2890625</v>
      </c>
      <c r="BB45" s="22">
        <f t="shared" si="22"/>
        <v>50200.0078125</v>
      </c>
      <c r="BC45" s="22"/>
      <c r="BD45" s="22"/>
      <c r="BE45" s="80">
        <f t="shared" si="5"/>
        <v>162552.40625</v>
      </c>
      <c r="BF45" s="81">
        <f t="shared" si="15"/>
        <v>71714.296875</v>
      </c>
      <c r="BG45" s="82">
        <f t="shared" si="16"/>
        <v>234266.703125</v>
      </c>
    </row>
    <row r="46" spans="1:59" s="48" customFormat="1" x14ac:dyDescent="0.25">
      <c r="A46" s="42"/>
      <c r="B46" s="22" t="s">
        <v>74</v>
      </c>
      <c r="C46" s="49" t="s">
        <v>76</v>
      </c>
      <c r="D46" s="22" t="s">
        <v>69</v>
      </c>
      <c r="E46" s="45" t="s">
        <v>100</v>
      </c>
      <c r="F46" s="43">
        <v>20</v>
      </c>
      <c r="G46" s="22" t="s">
        <v>103</v>
      </c>
      <c r="H46" s="22">
        <v>2.1</v>
      </c>
      <c r="I46" s="22">
        <v>94148</v>
      </c>
      <c r="J46" s="77">
        <f t="shared" si="0"/>
        <v>117685</v>
      </c>
      <c r="K46" s="22"/>
      <c r="L46" s="22"/>
      <c r="M46" s="22"/>
      <c r="N46" s="22"/>
      <c r="O46" s="22"/>
      <c r="P46" s="22"/>
      <c r="Q46" s="22"/>
      <c r="R46" s="22"/>
      <c r="S46" s="77">
        <f t="shared" si="6"/>
        <v>0</v>
      </c>
      <c r="T46" s="46"/>
      <c r="U46" s="46"/>
      <c r="V46" s="46"/>
      <c r="W46" s="46"/>
      <c r="X46" s="46"/>
      <c r="Y46" s="46"/>
      <c r="Z46" s="46"/>
      <c r="AA46" s="79">
        <f t="shared" si="7"/>
        <v>0</v>
      </c>
      <c r="AB46" s="22"/>
      <c r="AC46" s="22"/>
      <c r="AD46" s="22"/>
      <c r="AE46" s="22"/>
      <c r="AF46" s="22"/>
      <c r="AG46" s="77">
        <f t="shared" si="8"/>
        <v>0</v>
      </c>
      <c r="AH46" s="77">
        <f t="shared" si="9"/>
        <v>0</v>
      </c>
      <c r="AI46" s="77">
        <f t="shared" si="10"/>
        <v>0</v>
      </c>
      <c r="AJ46" s="80">
        <f t="shared" si="11"/>
        <v>0</v>
      </c>
      <c r="AK46" s="22"/>
      <c r="AL46" s="22"/>
      <c r="AM46" s="22"/>
      <c r="AN46" s="22"/>
      <c r="AO46" s="22"/>
      <c r="AP46" s="22"/>
      <c r="AQ46" s="47">
        <f t="shared" si="20"/>
        <v>0</v>
      </c>
      <c r="AR46" s="47">
        <f t="shared" si="21"/>
        <v>0</v>
      </c>
      <c r="AS46" s="22"/>
      <c r="AT46" s="22"/>
      <c r="AU46" s="22"/>
      <c r="AV46" s="22">
        <f>J46</f>
        <v>117685</v>
      </c>
      <c r="AW46" s="77">
        <f t="shared" si="12"/>
        <v>88263.75</v>
      </c>
      <c r="AX46" s="22"/>
      <c r="AY46" s="77">
        <f t="shared" si="13"/>
        <v>20594.875</v>
      </c>
      <c r="AZ46" s="77">
        <f t="shared" si="3"/>
        <v>0</v>
      </c>
      <c r="BA46" s="181">
        <f t="shared" si="14"/>
        <v>0</v>
      </c>
      <c r="BB46" s="22">
        <f t="shared" si="22"/>
        <v>0</v>
      </c>
      <c r="BC46" s="22"/>
      <c r="BD46" s="22"/>
      <c r="BE46" s="80">
        <f t="shared" si="5"/>
        <v>138279.875</v>
      </c>
      <c r="BF46" s="81">
        <f t="shared" si="15"/>
        <v>88263.75</v>
      </c>
      <c r="BG46" s="82">
        <f t="shared" si="16"/>
        <v>226543.625</v>
      </c>
    </row>
    <row r="47" spans="1:59" s="48" customFormat="1" x14ac:dyDescent="0.25">
      <c r="A47" s="42"/>
      <c r="B47" s="22" t="s">
        <v>74</v>
      </c>
      <c r="C47" s="49" t="s">
        <v>151</v>
      </c>
      <c r="D47" s="22" t="s">
        <v>69</v>
      </c>
      <c r="E47" s="45" t="s">
        <v>100</v>
      </c>
      <c r="F47" s="43">
        <v>20</v>
      </c>
      <c r="G47" s="22" t="s">
        <v>103</v>
      </c>
      <c r="H47" s="22">
        <v>2.1</v>
      </c>
      <c r="I47" s="22">
        <v>94148</v>
      </c>
      <c r="J47" s="77">
        <f t="shared" si="0"/>
        <v>117685</v>
      </c>
      <c r="K47" s="22">
        <f t="shared" ref="K47:K50" si="26">J47*30%</f>
        <v>35305.5</v>
      </c>
      <c r="L47" s="22"/>
      <c r="M47" s="22"/>
      <c r="N47" s="22"/>
      <c r="O47" s="22"/>
      <c r="P47" s="22"/>
      <c r="Q47" s="22"/>
      <c r="R47" s="22"/>
      <c r="S47" s="77">
        <f t="shared" si="6"/>
        <v>0</v>
      </c>
      <c r="T47" s="46"/>
      <c r="U47" s="46"/>
      <c r="V47" s="46"/>
      <c r="W47" s="46"/>
      <c r="X47" s="46"/>
      <c r="Y47" s="46"/>
      <c r="Z47" s="46"/>
      <c r="AA47" s="79">
        <f t="shared" si="7"/>
        <v>0</v>
      </c>
      <c r="AB47" s="22"/>
      <c r="AC47" s="22"/>
      <c r="AD47" s="22"/>
      <c r="AE47" s="22"/>
      <c r="AF47" s="22">
        <v>1</v>
      </c>
      <c r="AG47" s="77">
        <f t="shared" si="8"/>
        <v>1</v>
      </c>
      <c r="AH47" s="77">
        <f t="shared" si="9"/>
        <v>0</v>
      </c>
      <c r="AI47" s="77">
        <f t="shared" si="10"/>
        <v>0</v>
      </c>
      <c r="AJ47" s="80">
        <f t="shared" si="11"/>
        <v>7355.3125</v>
      </c>
      <c r="AK47" s="22"/>
      <c r="AL47" s="22"/>
      <c r="AM47" s="22"/>
      <c r="AN47" s="22"/>
      <c r="AO47" s="22"/>
      <c r="AP47" s="22"/>
      <c r="AQ47" s="47">
        <f t="shared" si="20"/>
        <v>0</v>
      </c>
      <c r="AR47" s="47">
        <f t="shared" si="21"/>
        <v>7355.3125</v>
      </c>
      <c r="AS47" s="22"/>
      <c r="AT47" s="22"/>
      <c r="AU47" s="22"/>
      <c r="AV47" s="22"/>
      <c r="AW47" s="77">
        <f t="shared" si="12"/>
        <v>5516.484375</v>
      </c>
      <c r="AX47" s="22"/>
      <c r="AY47" s="77">
        <f t="shared" si="13"/>
        <v>1287.1796875</v>
      </c>
      <c r="AZ47" s="77">
        <f t="shared" si="3"/>
        <v>2206.59375</v>
      </c>
      <c r="BA47" s="181">
        <f t="shared" si="14"/>
        <v>1654.9453125</v>
      </c>
      <c r="BB47" s="22">
        <f t="shared" si="22"/>
        <v>3861.5390625</v>
      </c>
      <c r="BC47" s="22"/>
      <c r="BD47" s="22"/>
      <c r="BE47" s="80">
        <f t="shared" si="5"/>
        <v>12504.03125</v>
      </c>
      <c r="BF47" s="81">
        <f t="shared" si="15"/>
        <v>5516.484375</v>
      </c>
      <c r="BG47" s="82">
        <f t="shared" si="16"/>
        <v>18020.515625</v>
      </c>
    </row>
    <row r="48" spans="1:59" s="48" customFormat="1" x14ac:dyDescent="0.25">
      <c r="A48" s="42"/>
      <c r="B48" s="22" t="s">
        <v>77</v>
      </c>
      <c r="C48" s="50" t="s">
        <v>108</v>
      </c>
      <c r="D48" s="22" t="s">
        <v>101</v>
      </c>
      <c r="E48" s="45" t="s">
        <v>153</v>
      </c>
      <c r="F48" s="43">
        <v>28</v>
      </c>
      <c r="G48" s="22" t="s">
        <v>103</v>
      </c>
      <c r="H48" s="22">
        <v>2.1</v>
      </c>
      <c r="I48" s="22">
        <v>95741</v>
      </c>
      <c r="J48" s="77">
        <f t="shared" si="0"/>
        <v>119676.25</v>
      </c>
      <c r="K48" s="22">
        <f t="shared" si="26"/>
        <v>35902.875</v>
      </c>
      <c r="L48" s="22"/>
      <c r="M48" s="22"/>
      <c r="N48" s="22"/>
      <c r="O48" s="22">
        <v>15</v>
      </c>
      <c r="P48" s="22"/>
      <c r="Q48" s="22">
        <v>12</v>
      </c>
      <c r="R48" s="22"/>
      <c r="S48" s="77">
        <f t="shared" si="6"/>
        <v>27</v>
      </c>
      <c r="T48" s="46"/>
      <c r="U48" s="46"/>
      <c r="V48" s="46"/>
      <c r="W48" s="46"/>
      <c r="X48" s="46"/>
      <c r="Y48" s="46"/>
      <c r="Z48" s="22"/>
      <c r="AA48" s="79">
        <f t="shared" si="7"/>
        <v>0</v>
      </c>
      <c r="AB48" s="22"/>
      <c r="AC48" s="22"/>
      <c r="AD48" s="22"/>
      <c r="AE48" s="22"/>
      <c r="AF48" s="22"/>
      <c r="AG48" s="77">
        <f t="shared" si="8"/>
        <v>0</v>
      </c>
      <c r="AH48" s="77">
        <f t="shared" si="9"/>
        <v>201953.671875</v>
      </c>
      <c r="AI48" s="77">
        <f t="shared" si="10"/>
        <v>0</v>
      </c>
      <c r="AJ48" s="80">
        <f t="shared" si="11"/>
        <v>0</v>
      </c>
      <c r="AK48" s="22"/>
      <c r="AL48" s="22">
        <v>3539</v>
      </c>
      <c r="AM48" s="22"/>
      <c r="AN48" s="22"/>
      <c r="AO48" s="22"/>
      <c r="AP48" s="22"/>
      <c r="AQ48" s="47">
        <f t="shared" si="20"/>
        <v>0</v>
      </c>
      <c r="AR48" s="47">
        <f t="shared" si="21"/>
        <v>205492.671875</v>
      </c>
      <c r="AS48" s="22">
        <v>4424</v>
      </c>
      <c r="AT48" s="22"/>
      <c r="AU48" s="22"/>
      <c r="AV48" s="22"/>
      <c r="AW48" s="77">
        <f t="shared" si="12"/>
        <v>151465.25390625</v>
      </c>
      <c r="AX48" s="22"/>
      <c r="AY48" s="77">
        <f t="shared" si="13"/>
        <v>35341.892578125</v>
      </c>
      <c r="AZ48" s="77">
        <f t="shared" si="3"/>
        <v>60586.1015625</v>
      </c>
      <c r="BA48" s="181">
        <f t="shared" si="14"/>
        <v>45439.576171875</v>
      </c>
      <c r="BB48" s="22">
        <f t="shared" si="22"/>
        <v>106025.677734375</v>
      </c>
      <c r="BC48" s="22"/>
      <c r="BD48" s="22"/>
      <c r="BE48" s="80">
        <f t="shared" si="5"/>
        <v>351284.2421875</v>
      </c>
      <c r="BF48" s="81">
        <f t="shared" si="15"/>
        <v>151465.25390625</v>
      </c>
      <c r="BG48" s="82">
        <f t="shared" si="16"/>
        <v>502749.49609375</v>
      </c>
    </row>
    <row r="49" spans="1:59" s="48" customFormat="1" x14ac:dyDescent="0.25">
      <c r="A49" s="42"/>
      <c r="B49" s="22" t="s">
        <v>77</v>
      </c>
      <c r="C49" s="50" t="s">
        <v>127</v>
      </c>
      <c r="D49" s="22" t="s">
        <v>65</v>
      </c>
      <c r="E49" s="45">
        <v>2</v>
      </c>
      <c r="F49" s="43">
        <v>28</v>
      </c>
      <c r="G49" s="22" t="s">
        <v>103</v>
      </c>
      <c r="H49" s="22">
        <v>2.2999999999999998</v>
      </c>
      <c r="I49" s="22">
        <v>91317</v>
      </c>
      <c r="J49" s="77">
        <f t="shared" si="0"/>
        <v>114146.25</v>
      </c>
      <c r="K49" s="22">
        <f t="shared" si="26"/>
        <v>34243.875</v>
      </c>
      <c r="L49" s="22"/>
      <c r="M49" s="22"/>
      <c r="N49" s="22"/>
      <c r="O49" s="22"/>
      <c r="P49" s="22"/>
      <c r="Q49" s="22"/>
      <c r="R49" s="22"/>
      <c r="S49" s="77">
        <f t="shared" si="6"/>
        <v>0</v>
      </c>
      <c r="T49" s="46"/>
      <c r="U49" s="46"/>
      <c r="V49" s="46"/>
      <c r="W49" s="46"/>
      <c r="X49" s="46"/>
      <c r="Y49" s="46"/>
      <c r="Z49" s="22"/>
      <c r="AA49" s="79">
        <f t="shared" si="7"/>
        <v>0</v>
      </c>
      <c r="AB49" s="22"/>
      <c r="AC49" s="22"/>
      <c r="AD49" s="22"/>
      <c r="AE49" s="22"/>
      <c r="AF49" s="22">
        <v>1</v>
      </c>
      <c r="AG49" s="77">
        <f t="shared" si="8"/>
        <v>1</v>
      </c>
      <c r="AH49" s="77">
        <f t="shared" si="9"/>
        <v>0</v>
      </c>
      <c r="AI49" s="77">
        <f t="shared" si="10"/>
        <v>0</v>
      </c>
      <c r="AJ49" s="80">
        <f t="shared" si="11"/>
        <v>7134.140625</v>
      </c>
      <c r="AK49" s="22"/>
      <c r="AL49" s="22"/>
      <c r="AM49" s="22"/>
      <c r="AN49" s="22"/>
      <c r="AO49" s="22"/>
      <c r="AP49" s="22"/>
      <c r="AQ49" s="47">
        <f t="shared" si="20"/>
        <v>0</v>
      </c>
      <c r="AR49" s="47">
        <f t="shared" si="21"/>
        <v>7134.140625</v>
      </c>
      <c r="AS49" s="22"/>
      <c r="AT49" s="22"/>
      <c r="AU49" s="22"/>
      <c r="AV49" s="22"/>
      <c r="AW49" s="77">
        <f t="shared" si="12"/>
        <v>5350.60546875</v>
      </c>
      <c r="AX49" s="22"/>
      <c r="AY49" s="77">
        <f t="shared" si="13"/>
        <v>1248.474609375</v>
      </c>
      <c r="AZ49" s="77">
        <f t="shared" si="3"/>
        <v>2140.2421875</v>
      </c>
      <c r="BA49" s="181">
        <f t="shared" si="14"/>
        <v>1605.181640625</v>
      </c>
      <c r="BB49" s="22">
        <f t="shared" si="22"/>
        <v>3745.423828125</v>
      </c>
      <c r="BC49" s="22"/>
      <c r="BD49" s="22"/>
      <c r="BE49" s="80">
        <f t="shared" si="5"/>
        <v>12128.0390625</v>
      </c>
      <c r="BF49" s="81">
        <f t="shared" si="15"/>
        <v>5350.60546875</v>
      </c>
      <c r="BG49" s="82">
        <f t="shared" si="16"/>
        <v>17478.64453125</v>
      </c>
    </row>
    <row r="50" spans="1:59" s="48" customFormat="1" ht="26.25" x14ac:dyDescent="0.25">
      <c r="A50" s="42"/>
      <c r="B50" s="22" t="s">
        <v>77</v>
      </c>
      <c r="C50" s="187" t="s">
        <v>193</v>
      </c>
      <c r="D50" s="22" t="s">
        <v>69</v>
      </c>
      <c r="E50" s="45"/>
      <c r="F50" s="43">
        <v>28</v>
      </c>
      <c r="G50" s="22" t="s">
        <v>103</v>
      </c>
      <c r="H50" s="22">
        <v>2.4</v>
      </c>
      <c r="I50" s="22">
        <v>83707</v>
      </c>
      <c r="J50" s="77">
        <f t="shared" si="0"/>
        <v>104633.75</v>
      </c>
      <c r="K50" s="22">
        <f t="shared" si="26"/>
        <v>31390.125</v>
      </c>
      <c r="L50" s="22"/>
      <c r="M50" s="22"/>
      <c r="N50" s="22"/>
      <c r="O50" s="22"/>
      <c r="P50" s="22"/>
      <c r="Q50" s="22"/>
      <c r="R50" s="22"/>
      <c r="S50" s="77">
        <f t="shared" si="6"/>
        <v>0</v>
      </c>
      <c r="T50" s="46"/>
      <c r="U50" s="46"/>
      <c r="V50" s="46"/>
      <c r="W50" s="46"/>
      <c r="X50" s="46"/>
      <c r="Y50" s="46"/>
      <c r="Z50" s="46">
        <v>2</v>
      </c>
      <c r="AA50" s="79">
        <f t="shared" si="7"/>
        <v>2</v>
      </c>
      <c r="AB50" s="22"/>
      <c r="AC50" s="22"/>
      <c r="AD50" s="22"/>
      <c r="AE50" s="22"/>
      <c r="AF50" s="22"/>
      <c r="AG50" s="77">
        <f t="shared" si="8"/>
        <v>0</v>
      </c>
      <c r="AH50" s="77">
        <f t="shared" si="9"/>
        <v>0</v>
      </c>
      <c r="AI50" s="77">
        <f t="shared" si="10"/>
        <v>13079.21875</v>
      </c>
      <c r="AJ50" s="80">
        <f t="shared" si="11"/>
        <v>0</v>
      </c>
      <c r="AK50" s="22"/>
      <c r="AL50" s="22"/>
      <c r="AM50" s="22"/>
      <c r="AN50" s="22"/>
      <c r="AO50" s="22"/>
      <c r="AP50" s="22"/>
      <c r="AQ50" s="47">
        <f t="shared" si="20"/>
        <v>0</v>
      </c>
      <c r="AR50" s="47">
        <f t="shared" si="21"/>
        <v>13079.21875</v>
      </c>
      <c r="AS50" s="22"/>
      <c r="AT50" s="22"/>
      <c r="AU50" s="22"/>
      <c r="AV50" s="22"/>
      <c r="AW50" s="77">
        <f t="shared" si="12"/>
        <v>9809.4140625</v>
      </c>
      <c r="AX50" s="22"/>
      <c r="AY50" s="77">
        <f t="shared" si="13"/>
        <v>2288.86328125</v>
      </c>
      <c r="AZ50" s="77">
        <f t="shared" si="3"/>
        <v>3923.765625</v>
      </c>
      <c r="BA50" s="181">
        <f t="shared" si="14"/>
        <v>2942.82421875</v>
      </c>
      <c r="BB50" s="22">
        <f t="shared" si="22"/>
        <v>6866.58984375</v>
      </c>
      <c r="BC50" s="22"/>
      <c r="BD50" s="22"/>
      <c r="BE50" s="80">
        <f t="shared" si="5"/>
        <v>22234.671875</v>
      </c>
      <c r="BF50" s="81">
        <f t="shared" si="15"/>
        <v>9809.4140625</v>
      </c>
      <c r="BG50" s="82">
        <f t="shared" si="16"/>
        <v>32044.0859375</v>
      </c>
    </row>
    <row r="51" spans="1:59" x14ac:dyDescent="0.25">
      <c r="A51" s="42"/>
      <c r="B51" s="22" t="s">
        <v>86</v>
      </c>
      <c r="C51" s="50" t="s">
        <v>187</v>
      </c>
      <c r="D51" s="22" t="s">
        <v>102</v>
      </c>
      <c r="E51" s="45"/>
      <c r="F51" s="43">
        <v>5</v>
      </c>
      <c r="G51" s="22" t="s">
        <v>104</v>
      </c>
      <c r="H51" s="22" t="s">
        <v>107</v>
      </c>
      <c r="I51" s="22">
        <v>88662</v>
      </c>
      <c r="J51" s="77">
        <f t="shared" si="0"/>
        <v>110827.5</v>
      </c>
      <c r="K51" s="22"/>
      <c r="L51" s="22"/>
      <c r="M51" s="22"/>
      <c r="N51" s="22"/>
      <c r="O51" s="22"/>
      <c r="P51" s="22"/>
      <c r="Q51" s="22"/>
      <c r="R51" s="22"/>
      <c r="S51" s="77">
        <f t="shared" si="6"/>
        <v>0</v>
      </c>
      <c r="T51" s="46"/>
      <c r="U51" s="46"/>
      <c r="V51" s="46"/>
      <c r="W51" s="46"/>
      <c r="X51" s="46"/>
      <c r="Y51" s="46"/>
      <c r="Z51" s="22"/>
      <c r="AA51" s="79">
        <f t="shared" si="7"/>
        <v>0</v>
      </c>
      <c r="AB51" s="22"/>
      <c r="AC51" s="22"/>
      <c r="AD51" s="22"/>
      <c r="AE51" s="22"/>
      <c r="AF51" s="22"/>
      <c r="AG51" s="77">
        <f t="shared" si="8"/>
        <v>0</v>
      </c>
      <c r="AH51" s="77">
        <f t="shared" si="9"/>
        <v>0</v>
      </c>
      <c r="AI51" s="77">
        <f t="shared" si="10"/>
        <v>0</v>
      </c>
      <c r="AJ51" s="80">
        <f t="shared" si="11"/>
        <v>0</v>
      </c>
      <c r="AK51" s="22"/>
      <c r="AL51" s="22"/>
      <c r="AM51" s="22"/>
      <c r="AN51" s="22"/>
      <c r="AO51" s="22"/>
      <c r="AP51" s="22"/>
      <c r="AQ51" s="47">
        <f t="shared" si="20"/>
        <v>0</v>
      </c>
      <c r="AR51" s="47">
        <f t="shared" si="21"/>
        <v>0</v>
      </c>
      <c r="AS51" s="22"/>
      <c r="AT51" s="22"/>
      <c r="AU51" s="22"/>
      <c r="AV51" s="22">
        <f>J51</f>
        <v>110827.5</v>
      </c>
      <c r="AW51" s="77">
        <f t="shared" si="12"/>
        <v>83120.625</v>
      </c>
      <c r="AX51" s="22"/>
      <c r="AY51" s="77">
        <f t="shared" si="13"/>
        <v>19394.8125</v>
      </c>
      <c r="AZ51" s="181">
        <f t="shared" si="3"/>
        <v>0</v>
      </c>
      <c r="BA51" s="181">
        <f t="shared" si="14"/>
        <v>0</v>
      </c>
      <c r="BB51" s="182">
        <f t="shared" si="22"/>
        <v>0</v>
      </c>
      <c r="BC51" s="22"/>
      <c r="BD51" s="22"/>
      <c r="BE51" s="80">
        <f t="shared" si="5"/>
        <v>130222.3125</v>
      </c>
      <c r="BF51" s="81">
        <f t="shared" si="15"/>
        <v>83120.625</v>
      </c>
      <c r="BG51" s="82">
        <f t="shared" si="16"/>
        <v>213342.9375</v>
      </c>
    </row>
    <row r="52" spans="1:59" ht="15.75" customHeight="1" x14ac:dyDescent="0.25">
      <c r="A52" s="42"/>
      <c r="B52" s="22" t="s">
        <v>86</v>
      </c>
      <c r="C52" s="49" t="s">
        <v>79</v>
      </c>
      <c r="D52" s="22" t="s">
        <v>65</v>
      </c>
      <c r="E52" s="45" t="s">
        <v>126</v>
      </c>
      <c r="F52" s="43">
        <v>5</v>
      </c>
      <c r="G52" s="22" t="s">
        <v>103</v>
      </c>
      <c r="H52" s="22">
        <v>2.2000000000000002</v>
      </c>
      <c r="I52" s="22">
        <v>83530</v>
      </c>
      <c r="J52" s="77">
        <f t="shared" si="0"/>
        <v>104412.5</v>
      </c>
      <c r="K52" s="22">
        <f t="shared" ref="K52:K53" si="27">J52*30%</f>
        <v>31323.75</v>
      </c>
      <c r="L52" s="22"/>
      <c r="M52" s="22"/>
      <c r="N52" s="22"/>
      <c r="O52" s="22"/>
      <c r="P52" s="22">
        <v>3</v>
      </c>
      <c r="Q52" s="22">
        <v>0</v>
      </c>
      <c r="R52" s="22">
        <v>1</v>
      </c>
      <c r="S52" s="77">
        <f t="shared" si="6"/>
        <v>4</v>
      </c>
      <c r="T52" s="46">
        <v>1</v>
      </c>
      <c r="U52" s="46">
        <v>3</v>
      </c>
      <c r="V52" s="46"/>
      <c r="W52" s="46"/>
      <c r="X52" s="46"/>
      <c r="Y52" s="46"/>
      <c r="Z52" s="22"/>
      <c r="AA52" s="79">
        <f t="shared" si="7"/>
        <v>4</v>
      </c>
      <c r="AB52" s="22"/>
      <c r="AC52" s="22"/>
      <c r="AD52" s="22"/>
      <c r="AE52" s="22"/>
      <c r="AF52" s="22"/>
      <c r="AG52" s="77">
        <f t="shared" si="8"/>
        <v>0</v>
      </c>
      <c r="AH52" s="77">
        <f t="shared" si="9"/>
        <v>26103.125</v>
      </c>
      <c r="AI52" s="77">
        <f t="shared" si="10"/>
        <v>26103.125</v>
      </c>
      <c r="AJ52" s="80">
        <f t="shared" si="11"/>
        <v>0</v>
      </c>
      <c r="AK52" s="22"/>
      <c r="AL52" s="22"/>
      <c r="AM52" s="22"/>
      <c r="AN52" s="22"/>
      <c r="AO52" s="22"/>
      <c r="AP52" s="22"/>
      <c r="AQ52" s="47">
        <f t="shared" si="20"/>
        <v>0</v>
      </c>
      <c r="AR52" s="47">
        <f t="shared" si="21"/>
        <v>52206.25</v>
      </c>
      <c r="AS52" s="22"/>
      <c r="AT52" s="22"/>
      <c r="AU52" s="22"/>
      <c r="AV52" s="22"/>
      <c r="AW52" s="77">
        <f t="shared" si="12"/>
        <v>39154.6875</v>
      </c>
      <c r="AX52" s="22"/>
      <c r="AY52" s="77">
        <f t="shared" si="13"/>
        <v>9136.09375</v>
      </c>
      <c r="AZ52" s="181">
        <f t="shared" si="3"/>
        <v>15661.875</v>
      </c>
      <c r="BA52" s="181">
        <f t="shared" si="14"/>
        <v>11746.40625</v>
      </c>
      <c r="BB52" s="182">
        <f t="shared" si="22"/>
        <v>27408.28125</v>
      </c>
      <c r="BC52" s="22"/>
      <c r="BD52" s="22"/>
      <c r="BE52" s="80">
        <f t="shared" si="5"/>
        <v>88750.625</v>
      </c>
      <c r="BF52" s="81">
        <f t="shared" si="15"/>
        <v>39154.6875</v>
      </c>
      <c r="BG52" s="82">
        <f t="shared" si="16"/>
        <v>127905.3125</v>
      </c>
    </row>
    <row r="53" spans="1:59" s="48" customFormat="1" x14ac:dyDescent="0.25">
      <c r="A53" s="42"/>
      <c r="B53" s="179" t="s">
        <v>197</v>
      </c>
      <c r="C53" s="22" t="s">
        <v>131</v>
      </c>
      <c r="D53" s="22" t="s">
        <v>69</v>
      </c>
      <c r="E53" s="45"/>
      <c r="F53" s="43">
        <v>14</v>
      </c>
      <c r="G53" s="22" t="s">
        <v>103</v>
      </c>
      <c r="H53" s="45">
        <v>2.4</v>
      </c>
      <c r="I53" s="22">
        <v>79460</v>
      </c>
      <c r="J53" s="77">
        <f t="shared" si="0"/>
        <v>99325</v>
      </c>
      <c r="K53" s="22">
        <f t="shared" si="27"/>
        <v>29797.5</v>
      </c>
      <c r="L53" s="22"/>
      <c r="M53" s="22"/>
      <c r="N53" s="22"/>
      <c r="O53" s="22"/>
      <c r="P53" s="22"/>
      <c r="Q53" s="22"/>
      <c r="R53" s="22"/>
      <c r="S53" s="77">
        <f t="shared" si="6"/>
        <v>0</v>
      </c>
      <c r="T53" s="46"/>
      <c r="U53" s="46"/>
      <c r="V53" s="46">
        <v>2</v>
      </c>
      <c r="W53" s="46">
        <v>2</v>
      </c>
      <c r="X53" s="46">
        <v>2</v>
      </c>
      <c r="Y53" s="46"/>
      <c r="Z53" s="46"/>
      <c r="AA53" s="79">
        <f t="shared" si="7"/>
        <v>6</v>
      </c>
      <c r="AB53" s="22"/>
      <c r="AC53" s="22"/>
      <c r="AD53" s="22">
        <v>1</v>
      </c>
      <c r="AE53" s="22"/>
      <c r="AF53" s="22"/>
      <c r="AG53" s="77">
        <f t="shared" si="8"/>
        <v>1</v>
      </c>
      <c r="AH53" s="77">
        <f t="shared" si="9"/>
        <v>0</v>
      </c>
      <c r="AI53" s="77">
        <f t="shared" si="10"/>
        <v>37246.875</v>
      </c>
      <c r="AJ53" s="80">
        <f t="shared" si="11"/>
        <v>6207.8125</v>
      </c>
      <c r="AK53" s="22"/>
      <c r="AL53" s="22"/>
      <c r="AM53" s="22">
        <v>3</v>
      </c>
      <c r="AN53" s="22">
        <v>1326</v>
      </c>
      <c r="AO53" s="22">
        <v>0.5</v>
      </c>
      <c r="AP53" s="22">
        <v>221</v>
      </c>
      <c r="AQ53" s="47">
        <f t="shared" si="20"/>
        <v>0</v>
      </c>
      <c r="AR53" s="47">
        <f t="shared" si="21"/>
        <v>45001.6875</v>
      </c>
      <c r="AS53" s="22"/>
      <c r="AT53" s="22"/>
      <c r="AU53" s="22"/>
      <c r="AV53" s="22"/>
      <c r="AW53" s="77">
        <f t="shared" si="12"/>
        <v>32591.015625</v>
      </c>
      <c r="AX53" s="22"/>
      <c r="AY53" s="77">
        <f t="shared" si="13"/>
        <v>7604.5703125</v>
      </c>
      <c r="AZ53" s="77">
        <f t="shared" si="3"/>
        <v>13036.40625</v>
      </c>
      <c r="BA53" s="181">
        <f t="shared" si="14"/>
        <v>9777.3046875</v>
      </c>
      <c r="BB53" s="22">
        <f t="shared" si="22"/>
        <v>22813.7109375</v>
      </c>
      <c r="BC53" s="22"/>
      <c r="BD53" s="22">
        <v>884</v>
      </c>
      <c r="BE53" s="80">
        <f t="shared" si="5"/>
        <v>76303.96875</v>
      </c>
      <c r="BF53" s="81">
        <f t="shared" si="15"/>
        <v>32591.015625</v>
      </c>
      <c r="BG53" s="82">
        <f t="shared" si="16"/>
        <v>108894.984375</v>
      </c>
    </row>
    <row r="54" spans="1:59" s="48" customFormat="1" x14ac:dyDescent="0.25">
      <c r="A54" s="42"/>
      <c r="B54" s="22" t="s">
        <v>198</v>
      </c>
      <c r="C54" s="49" t="s">
        <v>156</v>
      </c>
      <c r="D54" s="22" t="s">
        <v>65</v>
      </c>
      <c r="E54" s="45"/>
      <c r="F54" s="43">
        <v>14</v>
      </c>
      <c r="G54" s="22" t="s">
        <v>103</v>
      </c>
      <c r="H54" s="22">
        <v>2.4</v>
      </c>
      <c r="I54" s="22">
        <v>79460</v>
      </c>
      <c r="J54" s="77">
        <f t="shared" si="0"/>
        <v>99325</v>
      </c>
      <c r="K54" s="22"/>
      <c r="L54" s="22"/>
      <c r="M54" s="22"/>
      <c r="N54" s="22"/>
      <c r="O54" s="22"/>
      <c r="P54" s="22"/>
      <c r="Q54" s="22"/>
      <c r="R54" s="22"/>
      <c r="S54" s="77">
        <f t="shared" si="6"/>
        <v>0</v>
      </c>
      <c r="T54" s="46"/>
      <c r="U54" s="46"/>
      <c r="V54" s="46"/>
      <c r="W54" s="46"/>
      <c r="X54" s="46"/>
      <c r="Y54" s="46"/>
      <c r="Z54" s="46"/>
      <c r="AA54" s="79">
        <f t="shared" si="7"/>
        <v>0</v>
      </c>
      <c r="AB54" s="22"/>
      <c r="AC54" s="22"/>
      <c r="AD54" s="22"/>
      <c r="AE54" s="22"/>
      <c r="AF54" s="22"/>
      <c r="AG54" s="77">
        <f t="shared" si="8"/>
        <v>0</v>
      </c>
      <c r="AH54" s="77">
        <f t="shared" si="9"/>
        <v>0</v>
      </c>
      <c r="AI54" s="77">
        <f t="shared" si="10"/>
        <v>0</v>
      </c>
      <c r="AJ54" s="80">
        <f t="shared" si="11"/>
        <v>0</v>
      </c>
      <c r="AK54" s="22"/>
      <c r="AL54" s="22"/>
      <c r="AM54" s="22"/>
      <c r="AN54" s="22"/>
      <c r="AO54" s="22"/>
      <c r="AP54" s="22"/>
      <c r="AQ54" s="47">
        <f t="shared" si="20"/>
        <v>0</v>
      </c>
      <c r="AR54" s="47">
        <f t="shared" si="21"/>
        <v>0</v>
      </c>
      <c r="AS54" s="22"/>
      <c r="AT54" s="22"/>
      <c r="AU54" s="22"/>
      <c r="AV54" s="22">
        <f>J54*0.25</f>
        <v>24831.25</v>
      </c>
      <c r="AW54" s="77">
        <f t="shared" si="12"/>
        <v>18623.4375</v>
      </c>
      <c r="AX54" s="22"/>
      <c r="AY54" s="77">
        <f t="shared" si="13"/>
        <v>4345.46875</v>
      </c>
      <c r="AZ54" s="77">
        <f t="shared" si="3"/>
        <v>0</v>
      </c>
      <c r="BA54" s="181">
        <f t="shared" si="14"/>
        <v>0</v>
      </c>
      <c r="BB54" s="22">
        <f t="shared" si="22"/>
        <v>0</v>
      </c>
      <c r="BC54" s="22"/>
      <c r="BD54" s="22"/>
      <c r="BE54" s="80">
        <f t="shared" si="5"/>
        <v>29176.71875</v>
      </c>
      <c r="BF54" s="81">
        <f t="shared" si="15"/>
        <v>18623.4375</v>
      </c>
      <c r="BG54" s="82">
        <f t="shared" si="16"/>
        <v>47800.15625</v>
      </c>
    </row>
    <row r="55" spans="1:59" s="48" customFormat="1" x14ac:dyDescent="0.25">
      <c r="A55" s="42"/>
      <c r="B55" s="22" t="s">
        <v>84</v>
      </c>
      <c r="C55" s="22" t="s">
        <v>131</v>
      </c>
      <c r="D55" s="22" t="s">
        <v>69</v>
      </c>
      <c r="E55" s="45"/>
      <c r="F55" s="43">
        <v>25</v>
      </c>
      <c r="G55" s="22" t="s">
        <v>103</v>
      </c>
      <c r="H55" s="45">
        <v>2.4</v>
      </c>
      <c r="I55" s="22">
        <v>83707</v>
      </c>
      <c r="J55" s="77">
        <f t="shared" ref="J55:J64" si="28">I55*125/100</f>
        <v>104633.75</v>
      </c>
      <c r="K55" s="22">
        <f t="shared" ref="K55" si="29">J55*30%</f>
        <v>31390.125</v>
      </c>
      <c r="L55" s="22"/>
      <c r="M55" s="22"/>
      <c r="N55" s="22"/>
      <c r="O55" s="22"/>
      <c r="P55" s="22"/>
      <c r="Q55" s="22"/>
      <c r="R55" s="22"/>
      <c r="S55" s="77">
        <f t="shared" ref="S55:S61" si="30">N55+O55+P55+Q55+R55</f>
        <v>0</v>
      </c>
      <c r="T55" s="46">
        <v>2</v>
      </c>
      <c r="U55" s="46"/>
      <c r="V55" s="46"/>
      <c r="W55" s="46"/>
      <c r="X55" s="46"/>
      <c r="Y55" s="46"/>
      <c r="Z55" s="46"/>
      <c r="AA55" s="79">
        <f t="shared" ref="AA55:AA61" si="31">T55+U55+V55+W55+X55+Y55+Z55</f>
        <v>2</v>
      </c>
      <c r="AB55" s="22"/>
      <c r="AC55" s="22"/>
      <c r="AD55" s="22"/>
      <c r="AE55" s="22"/>
      <c r="AF55" s="22"/>
      <c r="AG55" s="77">
        <f t="shared" ref="AG55:AG61" si="32">AB55+AD55+AE55+AF55+AC55</f>
        <v>0</v>
      </c>
      <c r="AH55" s="77">
        <f t="shared" ref="AH55:AH62" si="33">(J55+L55)/16*S55</f>
        <v>0</v>
      </c>
      <c r="AI55" s="77">
        <f t="shared" ref="AI55:AI62" si="34">(J55+L55)/16*AA55</f>
        <v>13079.21875</v>
      </c>
      <c r="AJ55" s="80">
        <f t="shared" ref="AJ55:AJ62" si="35">(J55+L55)/16*AG55</f>
        <v>0</v>
      </c>
      <c r="AK55" s="22"/>
      <c r="AL55" s="22"/>
      <c r="AM55" s="22">
        <v>2</v>
      </c>
      <c r="AN55" s="22">
        <v>884</v>
      </c>
      <c r="AO55" s="22"/>
      <c r="AP55" s="22"/>
      <c r="AQ55" s="47">
        <f t="shared" ref="AQ55:AQ61" si="36">M55/18*S55+M55/18*AA55+M55/18*AG55</f>
        <v>0</v>
      </c>
      <c r="AR55" s="47">
        <f t="shared" ref="AR55:AR64" si="37">AH55+AI55+AJ55+AL55+AN55+AP55+AQ55</f>
        <v>13963.21875</v>
      </c>
      <c r="AS55" s="22"/>
      <c r="AT55" s="22"/>
      <c r="AU55" s="22"/>
      <c r="AV55" s="22"/>
      <c r="AW55" s="77">
        <f t="shared" si="12"/>
        <v>9809.4140625</v>
      </c>
      <c r="AX55" s="22"/>
      <c r="AY55" s="77">
        <f t="shared" ref="AY55:AY62" si="38">(AH55+AI55+AJ55+AV55+AW55)*10%</f>
        <v>2288.86328125</v>
      </c>
      <c r="AZ55" s="77">
        <f t="shared" ref="AZ55:AZ62" si="39">K55/16*S55+K55/16*AA55+K55/16*AG55</f>
        <v>3923.765625</v>
      </c>
      <c r="BA55" s="181">
        <f t="shared" si="14"/>
        <v>2942.82421875</v>
      </c>
      <c r="BB55" s="22">
        <f t="shared" ref="BB55:BB64" si="40">AZ55+BA55</f>
        <v>6866.58984375</v>
      </c>
      <c r="BC55" s="22"/>
      <c r="BD55" s="22">
        <v>884</v>
      </c>
      <c r="BE55" s="80">
        <f t="shared" ref="BE55:BE64" si="41">AR55+AS55+AT55+AU55+AV55+AX55+AY55+BD55+AZ55+BA55</f>
        <v>24002.671875</v>
      </c>
      <c r="BF55" s="81">
        <f t="shared" ref="BF55:BF62" si="42">AW55</f>
        <v>9809.4140625</v>
      </c>
      <c r="BG55" s="82">
        <f t="shared" ref="BG55:BG62" si="43">BE55+BF55</f>
        <v>33812.0859375</v>
      </c>
    </row>
    <row r="56" spans="1:59" x14ac:dyDescent="0.25">
      <c r="A56" s="42"/>
      <c r="B56" s="22" t="s">
        <v>84</v>
      </c>
      <c r="C56" s="22" t="s">
        <v>115</v>
      </c>
      <c r="D56" s="22" t="s">
        <v>65</v>
      </c>
      <c r="E56" s="45"/>
      <c r="F56" s="43">
        <v>25</v>
      </c>
      <c r="G56" s="22" t="s">
        <v>103</v>
      </c>
      <c r="H56" s="45">
        <v>3.4</v>
      </c>
      <c r="I56" s="77">
        <v>74150</v>
      </c>
      <c r="J56" s="77">
        <f t="shared" si="28"/>
        <v>92687.5</v>
      </c>
      <c r="K56" s="22"/>
      <c r="L56" s="22"/>
      <c r="M56" s="22"/>
      <c r="N56" s="22"/>
      <c r="O56" s="22"/>
      <c r="P56" s="22"/>
      <c r="Q56" s="22"/>
      <c r="R56" s="22"/>
      <c r="S56" s="77">
        <f t="shared" si="30"/>
        <v>0</v>
      </c>
      <c r="T56" s="46"/>
      <c r="U56" s="46"/>
      <c r="V56" s="46"/>
      <c r="W56" s="46"/>
      <c r="X56" s="46"/>
      <c r="Y56" s="46"/>
      <c r="Z56" s="46"/>
      <c r="AA56" s="79">
        <f t="shared" si="31"/>
        <v>0</v>
      </c>
      <c r="AB56" s="22"/>
      <c r="AC56" s="22"/>
      <c r="AD56" s="22"/>
      <c r="AE56" s="22"/>
      <c r="AF56" s="22"/>
      <c r="AG56" s="77">
        <f t="shared" si="32"/>
        <v>0</v>
      </c>
      <c r="AH56" s="77">
        <f t="shared" si="33"/>
        <v>0</v>
      </c>
      <c r="AI56" s="77">
        <f t="shared" si="34"/>
        <v>0</v>
      </c>
      <c r="AJ56" s="80">
        <f t="shared" si="35"/>
        <v>0</v>
      </c>
      <c r="AK56" s="22"/>
      <c r="AL56" s="22"/>
      <c r="AM56" s="22"/>
      <c r="AN56" s="22"/>
      <c r="AO56" s="22"/>
      <c r="AP56" s="22"/>
      <c r="AQ56" s="47">
        <f t="shared" si="36"/>
        <v>0</v>
      </c>
      <c r="AR56" s="47">
        <f t="shared" si="37"/>
        <v>0</v>
      </c>
      <c r="AS56" s="22"/>
      <c r="AT56" s="22"/>
      <c r="AU56" s="22"/>
      <c r="AV56" s="22">
        <f>J56</f>
        <v>92687.5</v>
      </c>
      <c r="AW56" s="77">
        <f t="shared" si="12"/>
        <v>69515.625</v>
      </c>
      <c r="AX56" s="22"/>
      <c r="AY56" s="77">
        <f t="shared" si="38"/>
        <v>16220.3125</v>
      </c>
      <c r="AZ56" s="181">
        <f t="shared" si="39"/>
        <v>0</v>
      </c>
      <c r="BA56" s="181">
        <f t="shared" si="14"/>
        <v>0</v>
      </c>
      <c r="BB56" s="182">
        <f t="shared" si="40"/>
        <v>0</v>
      </c>
      <c r="BC56" s="22"/>
      <c r="BD56" s="22"/>
      <c r="BE56" s="80">
        <f t="shared" si="41"/>
        <v>108907.8125</v>
      </c>
      <c r="BF56" s="81">
        <f t="shared" si="42"/>
        <v>69515.625</v>
      </c>
      <c r="BG56" s="82">
        <f t="shared" si="43"/>
        <v>178423.4375</v>
      </c>
    </row>
    <row r="57" spans="1:59" x14ac:dyDescent="0.25">
      <c r="A57" s="42"/>
      <c r="B57" s="22" t="s">
        <v>84</v>
      </c>
      <c r="C57" s="22" t="s">
        <v>154</v>
      </c>
      <c r="D57" s="22" t="s">
        <v>69</v>
      </c>
      <c r="E57" s="45"/>
      <c r="F57" s="43">
        <v>8</v>
      </c>
      <c r="G57" s="22" t="s">
        <v>103</v>
      </c>
      <c r="H57" s="22">
        <v>2.4</v>
      </c>
      <c r="I57" s="22">
        <v>76628</v>
      </c>
      <c r="J57" s="77">
        <f t="shared" si="28"/>
        <v>95785</v>
      </c>
      <c r="K57" s="22">
        <f t="shared" ref="K57" si="44">J57*30%</f>
        <v>28735.5</v>
      </c>
      <c r="L57" s="22"/>
      <c r="M57" s="22"/>
      <c r="N57" s="22"/>
      <c r="O57" s="22"/>
      <c r="P57" s="22"/>
      <c r="Q57" s="22"/>
      <c r="R57" s="22"/>
      <c r="S57" s="77">
        <f t="shared" si="30"/>
        <v>0</v>
      </c>
      <c r="T57" s="46"/>
      <c r="U57" s="46"/>
      <c r="V57" s="46"/>
      <c r="W57" s="46"/>
      <c r="X57" s="46"/>
      <c r="Y57" s="46"/>
      <c r="Z57" s="46"/>
      <c r="AA57" s="79">
        <f t="shared" si="31"/>
        <v>0</v>
      </c>
      <c r="AB57" s="22"/>
      <c r="AC57" s="22"/>
      <c r="AD57" s="22"/>
      <c r="AE57" s="22"/>
      <c r="AF57" s="22">
        <v>1</v>
      </c>
      <c r="AG57" s="77">
        <f t="shared" si="32"/>
        <v>1</v>
      </c>
      <c r="AH57" s="77">
        <f t="shared" si="33"/>
        <v>0</v>
      </c>
      <c r="AI57" s="77">
        <f t="shared" si="34"/>
        <v>0</v>
      </c>
      <c r="AJ57" s="80">
        <f t="shared" si="35"/>
        <v>5986.5625</v>
      </c>
      <c r="AK57" s="22"/>
      <c r="AL57" s="22"/>
      <c r="AM57" s="22"/>
      <c r="AN57" s="22"/>
      <c r="AO57" s="22"/>
      <c r="AP57" s="22"/>
      <c r="AQ57" s="47">
        <f t="shared" si="36"/>
        <v>0</v>
      </c>
      <c r="AR57" s="47">
        <f t="shared" si="37"/>
        <v>5986.5625</v>
      </c>
      <c r="AS57" s="22"/>
      <c r="AT57" s="22"/>
      <c r="AU57" s="22"/>
      <c r="AV57" s="22"/>
      <c r="AW57" s="77">
        <f t="shared" si="12"/>
        <v>4489.921875</v>
      </c>
      <c r="AX57" s="22"/>
      <c r="AY57" s="77">
        <f t="shared" si="38"/>
        <v>1047.6484375</v>
      </c>
      <c r="AZ57" s="181">
        <f t="shared" si="39"/>
        <v>1795.96875</v>
      </c>
      <c r="BA57" s="181">
        <f t="shared" si="14"/>
        <v>1346.9765625</v>
      </c>
      <c r="BB57" s="182">
        <f t="shared" si="40"/>
        <v>3142.9453125</v>
      </c>
      <c r="BC57" s="22"/>
      <c r="BD57" s="22"/>
      <c r="BE57" s="80">
        <f t="shared" si="41"/>
        <v>10177.15625</v>
      </c>
      <c r="BF57" s="81">
        <f t="shared" si="42"/>
        <v>4489.921875</v>
      </c>
      <c r="BG57" s="82">
        <f t="shared" si="43"/>
        <v>14667.078125</v>
      </c>
    </row>
    <row r="58" spans="1:59" x14ac:dyDescent="0.25">
      <c r="A58" s="215"/>
      <c r="B58" s="76" t="s">
        <v>84</v>
      </c>
      <c r="C58" s="76" t="s">
        <v>113</v>
      </c>
      <c r="D58" s="76" t="s">
        <v>65</v>
      </c>
      <c r="E58" s="76"/>
      <c r="F58" s="183">
        <v>10</v>
      </c>
      <c r="G58" s="22" t="s">
        <v>103</v>
      </c>
      <c r="H58" s="184">
        <v>2.4</v>
      </c>
      <c r="I58" s="184">
        <v>77513</v>
      </c>
      <c r="J58" s="77">
        <f t="shared" si="28"/>
        <v>96891.25</v>
      </c>
      <c r="K58" s="77">
        <f>J58*30%</f>
        <v>29067.375</v>
      </c>
      <c r="L58" s="184"/>
      <c r="M58" s="184"/>
      <c r="N58" s="78"/>
      <c r="O58" s="78"/>
      <c r="P58" s="78"/>
      <c r="Q58" s="78"/>
      <c r="R58" s="66"/>
      <c r="S58" s="77">
        <f t="shared" si="30"/>
        <v>0</v>
      </c>
      <c r="T58" s="78">
        <v>1</v>
      </c>
      <c r="U58" s="78">
        <v>1</v>
      </c>
      <c r="V58" s="78">
        <v>1</v>
      </c>
      <c r="W58" s="78">
        <v>1</v>
      </c>
      <c r="X58" s="78">
        <v>1</v>
      </c>
      <c r="Y58" s="66"/>
      <c r="Z58" s="66"/>
      <c r="AA58" s="79">
        <f t="shared" si="31"/>
        <v>5</v>
      </c>
      <c r="AB58" s="78"/>
      <c r="AC58" s="78"/>
      <c r="AD58" s="78">
        <v>1</v>
      </c>
      <c r="AE58" s="78"/>
      <c r="AF58" s="66"/>
      <c r="AG58" s="77">
        <f t="shared" si="32"/>
        <v>1</v>
      </c>
      <c r="AH58" s="77">
        <f t="shared" si="33"/>
        <v>0</v>
      </c>
      <c r="AI58" s="77">
        <f t="shared" si="34"/>
        <v>30278.515625</v>
      </c>
      <c r="AJ58" s="80">
        <f t="shared" si="35"/>
        <v>6055.703125</v>
      </c>
      <c r="AK58" s="78"/>
      <c r="AL58" s="76"/>
      <c r="AM58" s="78"/>
      <c r="AN58" s="76"/>
      <c r="AO58" s="78"/>
      <c r="AP58" s="76"/>
      <c r="AQ58" s="47">
        <f t="shared" si="36"/>
        <v>0</v>
      </c>
      <c r="AR58" s="47">
        <f t="shared" si="37"/>
        <v>36334.21875</v>
      </c>
      <c r="AS58" s="76"/>
      <c r="AT58" s="76"/>
      <c r="AU58" s="76"/>
      <c r="AV58" s="76"/>
      <c r="AW58" s="77">
        <f t="shared" si="12"/>
        <v>27250.6640625</v>
      </c>
      <c r="AX58" s="76"/>
      <c r="AY58" s="77">
        <f t="shared" si="38"/>
        <v>6358.48828125</v>
      </c>
      <c r="AZ58" s="181">
        <f t="shared" si="39"/>
        <v>10900.265625</v>
      </c>
      <c r="BA58" s="181">
        <f t="shared" si="14"/>
        <v>8175.19921875</v>
      </c>
      <c r="BB58" s="182">
        <f t="shared" si="40"/>
        <v>19075.46484375</v>
      </c>
      <c r="BC58" s="22"/>
      <c r="BD58" s="76">
        <v>442</v>
      </c>
      <c r="BE58" s="80">
        <f t="shared" si="41"/>
        <v>62210.171875</v>
      </c>
      <c r="BF58" s="81">
        <f t="shared" si="42"/>
        <v>27250.6640625</v>
      </c>
      <c r="BG58" s="82">
        <f t="shared" si="43"/>
        <v>89460.8359375</v>
      </c>
    </row>
    <row r="59" spans="1:59" x14ac:dyDescent="0.25">
      <c r="A59" s="42"/>
      <c r="B59" s="22" t="s">
        <v>84</v>
      </c>
      <c r="C59" s="22" t="s">
        <v>114</v>
      </c>
      <c r="D59" s="22" t="s">
        <v>69</v>
      </c>
      <c r="E59" s="45"/>
      <c r="F59" s="43">
        <v>10</v>
      </c>
      <c r="G59" s="22" t="s">
        <v>103</v>
      </c>
      <c r="H59" s="184">
        <v>2.4</v>
      </c>
      <c r="I59" s="184">
        <v>77513</v>
      </c>
      <c r="J59" s="77">
        <f t="shared" si="28"/>
        <v>96891.25</v>
      </c>
      <c r="K59" s="22">
        <f t="shared" ref="K59:K61" si="45">J59*30%</f>
        <v>29067.375</v>
      </c>
      <c r="L59" s="22"/>
      <c r="M59" s="22"/>
      <c r="N59" s="22"/>
      <c r="O59" s="22"/>
      <c r="P59" s="22"/>
      <c r="Q59" s="22"/>
      <c r="R59" s="22"/>
      <c r="S59" s="77">
        <f t="shared" si="30"/>
        <v>0</v>
      </c>
      <c r="T59" s="46">
        <v>1</v>
      </c>
      <c r="U59" s="46">
        <v>2</v>
      </c>
      <c r="V59" s="46">
        <v>1</v>
      </c>
      <c r="W59" s="46">
        <v>1</v>
      </c>
      <c r="X59" s="46">
        <v>1</v>
      </c>
      <c r="Y59" s="46"/>
      <c r="Z59" s="22"/>
      <c r="AA59" s="79">
        <f t="shared" si="31"/>
        <v>6</v>
      </c>
      <c r="AB59" s="22"/>
      <c r="AC59" s="22"/>
      <c r="AD59" s="22"/>
      <c r="AE59" s="22"/>
      <c r="AF59" s="22"/>
      <c r="AG59" s="77">
        <f t="shared" si="32"/>
        <v>0</v>
      </c>
      <c r="AH59" s="77">
        <f t="shared" si="33"/>
        <v>0</v>
      </c>
      <c r="AI59" s="77">
        <f t="shared" si="34"/>
        <v>36334.21875</v>
      </c>
      <c r="AJ59" s="80">
        <f t="shared" si="35"/>
        <v>0</v>
      </c>
      <c r="AK59" s="22"/>
      <c r="AL59" s="22"/>
      <c r="AM59" s="22"/>
      <c r="AN59" s="22"/>
      <c r="AO59" s="22"/>
      <c r="AP59" s="22"/>
      <c r="AQ59" s="47">
        <f t="shared" si="36"/>
        <v>0</v>
      </c>
      <c r="AR59" s="47">
        <f t="shared" si="37"/>
        <v>36334.21875</v>
      </c>
      <c r="AS59" s="22"/>
      <c r="AT59" s="22"/>
      <c r="AU59" s="22"/>
      <c r="AV59" s="22"/>
      <c r="AW59" s="77">
        <f t="shared" si="12"/>
        <v>27250.6640625</v>
      </c>
      <c r="AX59" s="22"/>
      <c r="AY59" s="77">
        <f t="shared" si="38"/>
        <v>6358.48828125</v>
      </c>
      <c r="AZ59" s="181">
        <f t="shared" si="39"/>
        <v>10900.265625</v>
      </c>
      <c r="BA59" s="181">
        <f t="shared" si="14"/>
        <v>8175.19921875</v>
      </c>
      <c r="BB59" s="182">
        <f t="shared" si="40"/>
        <v>19075.46484375</v>
      </c>
      <c r="BC59" s="22"/>
      <c r="BD59" s="22">
        <v>442</v>
      </c>
      <c r="BE59" s="80">
        <f t="shared" si="41"/>
        <v>62210.171875</v>
      </c>
      <c r="BF59" s="81">
        <f t="shared" si="42"/>
        <v>27250.6640625</v>
      </c>
      <c r="BG59" s="82">
        <f t="shared" si="43"/>
        <v>89460.8359375</v>
      </c>
    </row>
    <row r="60" spans="1:59" s="48" customFormat="1" x14ac:dyDescent="0.25">
      <c r="A60" s="42"/>
      <c r="B60" s="22" t="s">
        <v>84</v>
      </c>
      <c r="C60" s="50" t="s">
        <v>127</v>
      </c>
      <c r="D60" s="22" t="s">
        <v>65</v>
      </c>
      <c r="E60" s="45"/>
      <c r="F60" s="43">
        <v>25</v>
      </c>
      <c r="G60" s="22" t="s">
        <v>103</v>
      </c>
      <c r="H60" s="22">
        <v>2.4</v>
      </c>
      <c r="I60" s="22">
        <v>83707</v>
      </c>
      <c r="J60" s="77">
        <f t="shared" si="28"/>
        <v>104633.75</v>
      </c>
      <c r="K60" s="22">
        <f t="shared" si="45"/>
        <v>31390.125</v>
      </c>
      <c r="L60" s="22"/>
      <c r="M60" s="22"/>
      <c r="N60" s="22"/>
      <c r="O60" s="22">
        <v>2</v>
      </c>
      <c r="P60" s="22">
        <v>3</v>
      </c>
      <c r="Q60" s="22"/>
      <c r="R60" s="22"/>
      <c r="S60" s="77">
        <f t="shared" si="30"/>
        <v>5</v>
      </c>
      <c r="T60" s="46"/>
      <c r="U60" s="46"/>
      <c r="V60" s="46"/>
      <c r="W60" s="46"/>
      <c r="X60" s="46">
        <v>5</v>
      </c>
      <c r="Y60" s="46"/>
      <c r="Z60" s="22"/>
      <c r="AA60" s="79">
        <f t="shared" si="31"/>
        <v>5</v>
      </c>
      <c r="AB60" s="22"/>
      <c r="AC60" s="22"/>
      <c r="AD60" s="22"/>
      <c r="AE60" s="22"/>
      <c r="AF60" s="22"/>
      <c r="AG60" s="77">
        <f t="shared" si="32"/>
        <v>0</v>
      </c>
      <c r="AH60" s="77">
        <f t="shared" si="33"/>
        <v>32698.046875</v>
      </c>
      <c r="AI60" s="77">
        <f t="shared" si="34"/>
        <v>32698.046875</v>
      </c>
      <c r="AJ60" s="80">
        <f t="shared" si="35"/>
        <v>0</v>
      </c>
      <c r="AK60" s="22">
        <v>2.5</v>
      </c>
      <c r="AL60" s="22">
        <v>1230</v>
      </c>
      <c r="AM60" s="22">
        <v>2.5</v>
      </c>
      <c r="AN60" s="22">
        <v>1230</v>
      </c>
      <c r="AO60" s="22"/>
      <c r="AP60" s="22"/>
      <c r="AQ60" s="47">
        <f t="shared" si="36"/>
        <v>0</v>
      </c>
      <c r="AR60" s="47">
        <f t="shared" si="37"/>
        <v>67856.09375</v>
      </c>
      <c r="AS60" s="22"/>
      <c r="AT60" s="22"/>
      <c r="AU60" s="22"/>
      <c r="AV60" s="22"/>
      <c r="AW60" s="77">
        <f t="shared" si="12"/>
        <v>49047.0703125</v>
      </c>
      <c r="AX60" s="22"/>
      <c r="AY60" s="77">
        <f t="shared" si="38"/>
        <v>11444.31640625</v>
      </c>
      <c r="AZ60" s="77">
        <f t="shared" si="39"/>
        <v>19618.828125</v>
      </c>
      <c r="BA60" s="181">
        <f t="shared" si="14"/>
        <v>14714.12109375</v>
      </c>
      <c r="BB60" s="22">
        <f t="shared" si="40"/>
        <v>34332.94921875</v>
      </c>
      <c r="BC60" s="22"/>
      <c r="BD60" s="22"/>
      <c r="BE60" s="80">
        <f t="shared" si="41"/>
        <v>113633.359375</v>
      </c>
      <c r="BF60" s="81">
        <f t="shared" si="42"/>
        <v>49047.0703125</v>
      </c>
      <c r="BG60" s="82">
        <f t="shared" si="43"/>
        <v>162680.4296875</v>
      </c>
    </row>
    <row r="61" spans="1:59" s="48" customFormat="1" x14ac:dyDescent="0.25">
      <c r="A61" s="42"/>
      <c r="B61" s="22" t="s">
        <v>84</v>
      </c>
      <c r="C61" s="49" t="s">
        <v>189</v>
      </c>
      <c r="D61" s="22" t="s">
        <v>69</v>
      </c>
      <c r="E61" s="45"/>
      <c r="F61" s="43">
        <v>20</v>
      </c>
      <c r="G61" s="22" t="s">
        <v>103</v>
      </c>
      <c r="H61" s="22">
        <v>2.4</v>
      </c>
      <c r="I61" s="22">
        <v>82645</v>
      </c>
      <c r="J61" s="77">
        <f t="shared" si="28"/>
        <v>103306.25</v>
      </c>
      <c r="K61" s="22">
        <f t="shared" si="45"/>
        <v>30991.875</v>
      </c>
      <c r="L61" s="22"/>
      <c r="M61" s="22"/>
      <c r="N61" s="22"/>
      <c r="O61" s="22">
        <v>3</v>
      </c>
      <c r="P61" s="22"/>
      <c r="Q61" s="22"/>
      <c r="R61" s="22"/>
      <c r="S61" s="77">
        <f t="shared" si="30"/>
        <v>3</v>
      </c>
      <c r="T61" s="46">
        <v>2</v>
      </c>
      <c r="U61" s="46"/>
      <c r="V61" s="46"/>
      <c r="W61" s="46">
        <v>3</v>
      </c>
      <c r="X61" s="46">
        <v>3</v>
      </c>
      <c r="Y61" s="46"/>
      <c r="Z61" s="46"/>
      <c r="AA61" s="79">
        <f t="shared" si="31"/>
        <v>8</v>
      </c>
      <c r="AB61" s="22"/>
      <c r="AC61" s="22"/>
      <c r="AD61" s="22"/>
      <c r="AE61" s="22"/>
      <c r="AF61" s="22"/>
      <c r="AG61" s="77">
        <f t="shared" si="32"/>
        <v>0</v>
      </c>
      <c r="AH61" s="77">
        <f t="shared" si="33"/>
        <v>19369.921875</v>
      </c>
      <c r="AI61" s="77">
        <f t="shared" si="34"/>
        <v>51653.125</v>
      </c>
      <c r="AJ61" s="80">
        <f t="shared" si="35"/>
        <v>0</v>
      </c>
      <c r="AK61" s="22"/>
      <c r="AL61" s="22"/>
      <c r="AM61" s="22"/>
      <c r="AN61" s="22"/>
      <c r="AO61" s="22"/>
      <c r="AP61" s="22"/>
      <c r="AQ61" s="47">
        <f t="shared" si="36"/>
        <v>0</v>
      </c>
      <c r="AR61" s="47">
        <f t="shared" si="37"/>
        <v>71023.046875</v>
      </c>
      <c r="AS61" s="22"/>
      <c r="AT61" s="22"/>
      <c r="AU61" s="22"/>
      <c r="AV61" s="22"/>
      <c r="AW61" s="77">
        <f t="shared" si="12"/>
        <v>53267.28515625</v>
      </c>
      <c r="AX61" s="22"/>
      <c r="AY61" s="77">
        <f t="shared" si="38"/>
        <v>12429.033203125</v>
      </c>
      <c r="AZ61" s="77">
        <f t="shared" si="39"/>
        <v>21306.9140625</v>
      </c>
      <c r="BA61" s="181">
        <f t="shared" si="14"/>
        <v>15980.185546875</v>
      </c>
      <c r="BB61" s="22">
        <f t="shared" si="40"/>
        <v>37287.099609375</v>
      </c>
      <c r="BC61" s="22"/>
      <c r="BD61" s="22"/>
      <c r="BE61" s="80">
        <f t="shared" si="41"/>
        <v>120739.1796875</v>
      </c>
      <c r="BF61" s="81">
        <f t="shared" si="42"/>
        <v>53267.28515625</v>
      </c>
      <c r="BG61" s="82">
        <f t="shared" si="43"/>
        <v>174006.46484375</v>
      </c>
    </row>
    <row r="62" spans="1:59" s="48" customFormat="1" ht="26.25" x14ac:dyDescent="0.25">
      <c r="A62" s="42"/>
      <c r="B62" s="22" t="s">
        <v>84</v>
      </c>
      <c r="C62" s="187" t="s">
        <v>193</v>
      </c>
      <c r="D62" s="22" t="s">
        <v>69</v>
      </c>
      <c r="E62" s="45"/>
      <c r="F62" s="43">
        <v>20</v>
      </c>
      <c r="G62" s="22" t="s">
        <v>103</v>
      </c>
      <c r="H62" s="22">
        <v>2.4</v>
      </c>
      <c r="I62" s="22">
        <v>82645</v>
      </c>
      <c r="J62" s="77">
        <f t="shared" si="28"/>
        <v>103306.25</v>
      </c>
      <c r="K62" s="22">
        <f t="shared" ref="K62:K64" si="46">J62*30%</f>
        <v>30991.875</v>
      </c>
      <c r="L62" s="22"/>
      <c r="M62" s="22"/>
      <c r="N62" s="22"/>
      <c r="O62" s="22"/>
      <c r="P62" s="22"/>
      <c r="Q62" s="22"/>
      <c r="R62" s="22"/>
      <c r="S62" s="77">
        <f t="shared" ref="S62" si="47">N62+O62+P62+Q62+R62</f>
        <v>0</v>
      </c>
      <c r="T62" s="46"/>
      <c r="U62" s="46"/>
      <c r="V62" s="46"/>
      <c r="W62" s="46"/>
      <c r="X62" s="46"/>
      <c r="Y62" s="46"/>
      <c r="Z62" s="46">
        <v>1</v>
      </c>
      <c r="AA62" s="79">
        <f t="shared" ref="AA62" si="48">T62+U62+V62+W62+X62+Y62+Z62</f>
        <v>1</v>
      </c>
      <c r="AB62" s="22"/>
      <c r="AC62" s="22"/>
      <c r="AD62" s="22"/>
      <c r="AE62" s="22"/>
      <c r="AF62" s="22"/>
      <c r="AG62" s="77">
        <f t="shared" ref="AG62" si="49">AB62+AD62+AE62+AF62+AC62</f>
        <v>0</v>
      </c>
      <c r="AH62" s="77">
        <f t="shared" si="33"/>
        <v>0</v>
      </c>
      <c r="AI62" s="77">
        <f t="shared" si="34"/>
        <v>6456.640625</v>
      </c>
      <c r="AJ62" s="80">
        <f t="shared" si="35"/>
        <v>0</v>
      </c>
      <c r="AK62" s="22"/>
      <c r="AL62" s="22"/>
      <c r="AM62" s="22"/>
      <c r="AN62" s="22"/>
      <c r="AO62" s="22"/>
      <c r="AP62" s="22"/>
      <c r="AQ62" s="47">
        <f t="shared" ref="AQ62:AQ64" si="50">M62/18*S62+M62/18*AA62+M62/18*AG62</f>
        <v>0</v>
      </c>
      <c r="AR62" s="47">
        <f t="shared" si="37"/>
        <v>6456.640625</v>
      </c>
      <c r="AS62" s="22"/>
      <c r="AT62" s="22"/>
      <c r="AU62" s="22"/>
      <c r="AV62" s="22"/>
      <c r="AW62" s="77">
        <f t="shared" si="12"/>
        <v>4842.48046875</v>
      </c>
      <c r="AX62" s="22"/>
      <c r="AY62" s="77">
        <f t="shared" si="38"/>
        <v>1129.912109375</v>
      </c>
      <c r="AZ62" s="77">
        <f t="shared" si="39"/>
        <v>1936.9921875</v>
      </c>
      <c r="BA62" s="181">
        <f t="shared" si="14"/>
        <v>1452.744140625</v>
      </c>
      <c r="BB62" s="22">
        <f t="shared" si="40"/>
        <v>3389.736328125</v>
      </c>
      <c r="BC62" s="22"/>
      <c r="BD62" s="22"/>
      <c r="BE62" s="80">
        <f t="shared" si="41"/>
        <v>10976.2890625</v>
      </c>
      <c r="BF62" s="81">
        <f t="shared" si="42"/>
        <v>4842.48046875</v>
      </c>
      <c r="BG62" s="82">
        <f t="shared" si="43"/>
        <v>15818.76953125</v>
      </c>
    </row>
    <row r="63" spans="1:59" s="48" customFormat="1" x14ac:dyDescent="0.25">
      <c r="A63" s="172"/>
      <c r="B63" s="22" t="s">
        <v>84</v>
      </c>
      <c r="C63" s="169" t="s">
        <v>190</v>
      </c>
      <c r="D63" s="169" t="s">
        <v>65</v>
      </c>
      <c r="E63" s="173"/>
      <c r="F63" s="212">
        <v>5</v>
      </c>
      <c r="G63" s="174" t="s">
        <v>103</v>
      </c>
      <c r="H63" s="213">
        <v>2.4</v>
      </c>
      <c r="I63" s="174">
        <v>75566</v>
      </c>
      <c r="J63" s="77">
        <f t="shared" si="28"/>
        <v>94457.5</v>
      </c>
      <c r="K63" s="22">
        <f t="shared" si="46"/>
        <v>28337.25</v>
      </c>
      <c r="L63" s="214"/>
      <c r="M63" s="214"/>
      <c r="N63" s="46"/>
      <c r="O63" s="46"/>
      <c r="P63" s="46"/>
      <c r="Q63" s="175"/>
      <c r="R63" s="176"/>
      <c r="S63" s="77">
        <f>N63+O63+P63+Q63+R63</f>
        <v>0</v>
      </c>
      <c r="T63" s="46">
        <v>2</v>
      </c>
      <c r="U63" s="175"/>
      <c r="V63" s="46"/>
      <c r="W63" s="46"/>
      <c r="X63" s="46"/>
      <c r="Y63" s="176"/>
      <c r="Z63" s="176">
        <v>1</v>
      </c>
      <c r="AA63" s="79">
        <f>T63+U63+V63+W63+X63+Y63+Z63</f>
        <v>3</v>
      </c>
      <c r="AB63" s="46"/>
      <c r="AC63" s="46"/>
      <c r="AD63" s="46"/>
      <c r="AE63" s="46"/>
      <c r="AF63" s="176"/>
      <c r="AG63" s="77">
        <f>AB63+AD63+AE63+AF63+AC63</f>
        <v>0</v>
      </c>
      <c r="AH63" s="77">
        <f>(J63+L63)/16*S63</f>
        <v>0</v>
      </c>
      <c r="AI63" s="77">
        <f>(J63+L63)/16*AA63</f>
        <v>17710.78125</v>
      </c>
      <c r="AJ63" s="80">
        <f>(J63+L63)/16*AG63</f>
        <v>0</v>
      </c>
      <c r="AK63" s="46"/>
      <c r="AL63" s="178"/>
      <c r="AM63" s="46">
        <v>1</v>
      </c>
      <c r="AN63" s="178">
        <v>393</v>
      </c>
      <c r="AO63" s="46"/>
      <c r="AP63" s="178"/>
      <c r="AQ63" s="47">
        <f t="shared" si="50"/>
        <v>0</v>
      </c>
      <c r="AR63" s="47">
        <f t="shared" si="37"/>
        <v>18103.78125</v>
      </c>
      <c r="AS63" s="212"/>
      <c r="AT63" s="212"/>
      <c r="AU63" s="212"/>
      <c r="AV63" s="212"/>
      <c r="AW63" s="77">
        <f t="shared" si="12"/>
        <v>13283.0859375</v>
      </c>
      <c r="AX63" s="212"/>
      <c r="AY63" s="77">
        <f>(AH63+AI63+AJ63+AV63+AW63)*10%</f>
        <v>3099.38671875</v>
      </c>
      <c r="AZ63" s="77">
        <f>K63/16*S63+K63/16*AA63+K63/16*AG63</f>
        <v>5313.234375</v>
      </c>
      <c r="BA63" s="181">
        <f t="shared" si="14"/>
        <v>3984.92578125</v>
      </c>
      <c r="BB63" s="22">
        <f t="shared" si="40"/>
        <v>9298.16015625</v>
      </c>
      <c r="BC63" s="22"/>
      <c r="BD63" s="212"/>
      <c r="BE63" s="80">
        <f t="shared" si="41"/>
        <v>30501.328125</v>
      </c>
      <c r="BF63" s="81">
        <f>AW63</f>
        <v>13283.0859375</v>
      </c>
      <c r="BG63" s="82">
        <f>BE63+BF63</f>
        <v>43784.4140625</v>
      </c>
    </row>
    <row r="64" spans="1:59" s="48" customFormat="1" x14ac:dyDescent="0.25">
      <c r="A64" s="172"/>
      <c r="B64" s="22" t="s">
        <v>84</v>
      </c>
      <c r="C64" s="169" t="s">
        <v>206</v>
      </c>
      <c r="D64" s="169" t="s">
        <v>109</v>
      </c>
      <c r="E64" s="173"/>
      <c r="F64" s="212">
        <v>5</v>
      </c>
      <c r="G64" s="174" t="s">
        <v>103</v>
      </c>
      <c r="H64" s="213">
        <v>2.4</v>
      </c>
      <c r="I64" s="174">
        <v>75566</v>
      </c>
      <c r="J64" s="77">
        <f t="shared" si="28"/>
        <v>94457.5</v>
      </c>
      <c r="K64" s="22">
        <f t="shared" si="46"/>
        <v>28337.25</v>
      </c>
      <c r="L64" s="214"/>
      <c r="M64" s="214"/>
      <c r="N64" s="46"/>
      <c r="O64" s="46"/>
      <c r="P64" s="46"/>
      <c r="Q64" s="175"/>
      <c r="R64" s="176"/>
      <c r="S64" s="77">
        <f>N64+O64+P64+Q64+R64</f>
        <v>0</v>
      </c>
      <c r="T64" s="46"/>
      <c r="U64" s="175"/>
      <c r="V64" s="46"/>
      <c r="W64" s="46"/>
      <c r="X64" s="46"/>
      <c r="Y64" s="176">
        <v>4</v>
      </c>
      <c r="Z64" s="176"/>
      <c r="AA64" s="79">
        <f>T64+U64+V64+W64+X64+Y64+Z64</f>
        <v>4</v>
      </c>
      <c r="AB64" s="46"/>
      <c r="AC64" s="46"/>
      <c r="AD64" s="46"/>
      <c r="AE64" s="46"/>
      <c r="AF64" s="176"/>
      <c r="AG64" s="77">
        <f>AB64+AD64+AE64+AF64+AC64</f>
        <v>0</v>
      </c>
      <c r="AH64" s="77">
        <f>(J64+L64)/16*S64</f>
        <v>0</v>
      </c>
      <c r="AI64" s="77">
        <f>(J64+L64)/16*AA64</f>
        <v>23614.375</v>
      </c>
      <c r="AJ64" s="80">
        <f>(J64+L64)/16*AG64</f>
        <v>0</v>
      </c>
      <c r="AK64" s="46"/>
      <c r="AL64" s="178"/>
      <c r="AM64" s="46">
        <v>2</v>
      </c>
      <c r="AN64" s="178">
        <v>884</v>
      </c>
      <c r="AO64" s="46"/>
      <c r="AP64" s="178"/>
      <c r="AQ64" s="47">
        <f t="shared" si="50"/>
        <v>0</v>
      </c>
      <c r="AR64" s="47">
        <f t="shared" si="37"/>
        <v>24498.375</v>
      </c>
      <c r="AS64" s="212"/>
      <c r="AT64" s="212"/>
      <c r="AU64" s="212"/>
      <c r="AV64" s="212"/>
      <c r="AW64" s="77">
        <f t="shared" si="12"/>
        <v>17710.78125</v>
      </c>
      <c r="AX64" s="212"/>
      <c r="AY64" s="77">
        <f>(AH64+AI64+AJ64+AV64+AW64)*10%</f>
        <v>4132.515625</v>
      </c>
      <c r="AZ64" s="77">
        <f>K64/16*S64+K64/16*AA64+K64/16*AG64</f>
        <v>7084.3125</v>
      </c>
      <c r="BA64" s="181">
        <f t="shared" si="14"/>
        <v>5313.234375</v>
      </c>
      <c r="BB64" s="22">
        <f t="shared" si="40"/>
        <v>12397.546875</v>
      </c>
      <c r="BC64" s="22"/>
      <c r="BD64" s="212"/>
      <c r="BE64" s="80">
        <f t="shared" si="41"/>
        <v>41028.4375</v>
      </c>
      <c r="BF64" s="81">
        <f>AW64</f>
        <v>17710.78125</v>
      </c>
      <c r="BG64" s="82">
        <f>BE64+BF64</f>
        <v>58739.21875</v>
      </c>
    </row>
    <row r="65" spans="1:59" s="88" customFormat="1" x14ac:dyDescent="0.25">
      <c r="A65" s="85"/>
      <c r="B65" s="26" t="s">
        <v>119</v>
      </c>
      <c r="C65" s="60"/>
      <c r="D65" s="60"/>
      <c r="E65" s="86"/>
      <c r="F65" s="87"/>
      <c r="G65" s="60"/>
      <c r="H65" s="60"/>
      <c r="I65" s="60"/>
      <c r="J65" s="60">
        <f t="shared" ref="J65:J70" si="51">I65*125/100</f>
        <v>0</v>
      </c>
      <c r="K65" s="60"/>
      <c r="L65" s="60"/>
      <c r="M65" s="60"/>
      <c r="N65" s="60">
        <f t="shared" ref="N65:Z65" si="52">SUM(N28:N62)</f>
        <v>26</v>
      </c>
      <c r="O65" s="60">
        <f t="shared" si="52"/>
        <v>23</v>
      </c>
      <c r="P65" s="60">
        <f t="shared" si="52"/>
        <v>27</v>
      </c>
      <c r="Q65" s="60">
        <f t="shared" si="52"/>
        <v>28</v>
      </c>
      <c r="R65" s="60">
        <f t="shared" si="52"/>
        <v>1</v>
      </c>
      <c r="S65" s="60">
        <f t="shared" si="52"/>
        <v>105</v>
      </c>
      <c r="T65" s="60">
        <f t="shared" si="52"/>
        <v>27</v>
      </c>
      <c r="U65" s="60">
        <f t="shared" si="52"/>
        <v>31</v>
      </c>
      <c r="V65" s="60">
        <f t="shared" si="52"/>
        <v>34</v>
      </c>
      <c r="W65" s="60">
        <f t="shared" si="52"/>
        <v>35</v>
      </c>
      <c r="X65" s="60">
        <f t="shared" si="52"/>
        <v>36</v>
      </c>
      <c r="Y65" s="60">
        <f t="shared" si="52"/>
        <v>0</v>
      </c>
      <c r="Z65" s="60">
        <f t="shared" si="52"/>
        <v>7</v>
      </c>
      <c r="AA65" s="60">
        <f>SUM(AA28:AA64)</f>
        <v>177</v>
      </c>
      <c r="AB65" s="60">
        <f t="shared" ref="AB65:AV65" si="53">SUM(AB28:AB62)</f>
        <v>0</v>
      </c>
      <c r="AC65" s="60">
        <f t="shared" si="53"/>
        <v>0</v>
      </c>
      <c r="AD65" s="60">
        <f t="shared" si="53"/>
        <v>31</v>
      </c>
      <c r="AE65" s="60">
        <f t="shared" si="53"/>
        <v>0</v>
      </c>
      <c r="AF65" s="60">
        <f t="shared" si="53"/>
        <v>5</v>
      </c>
      <c r="AG65" s="60">
        <f t="shared" si="53"/>
        <v>36</v>
      </c>
      <c r="AH65" s="60">
        <f t="shared" si="53"/>
        <v>699652.03125</v>
      </c>
      <c r="AI65" s="60">
        <f t="shared" si="53"/>
        <v>1076338.046875</v>
      </c>
      <c r="AJ65" s="60">
        <f t="shared" si="53"/>
        <v>235370.3125</v>
      </c>
      <c r="AK65" s="60">
        <f t="shared" si="53"/>
        <v>8.5</v>
      </c>
      <c r="AL65" s="60">
        <f t="shared" si="53"/>
        <v>14525</v>
      </c>
      <c r="AM65" s="60">
        <f t="shared" si="53"/>
        <v>55.5</v>
      </c>
      <c r="AN65" s="60">
        <f t="shared" si="53"/>
        <v>27042</v>
      </c>
      <c r="AO65" s="60">
        <f t="shared" si="53"/>
        <v>10</v>
      </c>
      <c r="AP65" s="60">
        <f t="shared" si="53"/>
        <v>4901</v>
      </c>
      <c r="AQ65" s="60">
        <f t="shared" si="53"/>
        <v>0</v>
      </c>
      <c r="AR65" s="60">
        <f t="shared" si="53"/>
        <v>2057828.390625</v>
      </c>
      <c r="AS65" s="60">
        <f t="shared" si="53"/>
        <v>49550</v>
      </c>
      <c r="AT65" s="60">
        <f t="shared" si="53"/>
        <v>0</v>
      </c>
      <c r="AU65" s="60">
        <f t="shared" si="53"/>
        <v>0</v>
      </c>
      <c r="AV65" s="60">
        <f t="shared" si="53"/>
        <v>606951.875</v>
      </c>
      <c r="AW65" s="60">
        <f>SUM(AW28:AW64)</f>
        <v>1994728.06640625</v>
      </c>
      <c r="AX65" s="60">
        <f>SUM(AX28:AX62)</f>
        <v>0</v>
      </c>
      <c r="AY65" s="60">
        <f>SUM(AY28:AY64)</f>
        <v>465436.548828125</v>
      </c>
      <c r="AZ65" s="60">
        <f>SUM(AZ28:AZ64)</f>
        <v>615805.6640625</v>
      </c>
      <c r="BA65" s="60">
        <f>SUM(BA28:BA64)</f>
        <v>461854.248046875</v>
      </c>
      <c r="BB65" s="60">
        <f>SUM(BB28:BB64)</f>
        <v>1077659.912109375</v>
      </c>
      <c r="BC65" s="60"/>
      <c r="BD65" s="60">
        <f>SUM(BD28:BD62)</f>
        <v>23875</v>
      </c>
      <c r="BE65" s="216">
        <f>SUM(BE28:BE64)</f>
        <v>4323903.8828125</v>
      </c>
      <c r="BF65" s="60">
        <f>SUM(BF28:BF64)</f>
        <v>1994728.06640625</v>
      </c>
      <c r="BG65" s="60">
        <f>BE65+BF65</f>
        <v>6318631.94921875</v>
      </c>
    </row>
    <row r="66" spans="1:59" x14ac:dyDescent="0.25">
      <c r="A66" s="1"/>
      <c r="B66" s="15"/>
      <c r="C66" s="23"/>
      <c r="D66" s="23"/>
      <c r="E66" s="34"/>
      <c r="F66" s="24"/>
      <c r="G66" s="23"/>
      <c r="H66" s="23"/>
      <c r="I66" s="23"/>
      <c r="J66" s="23"/>
      <c r="K66" s="23"/>
      <c r="L66" s="23"/>
      <c r="M66" s="23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>
        <v>1</v>
      </c>
      <c r="AH66" s="22"/>
      <c r="AI66" s="23"/>
      <c r="AJ66" s="25"/>
      <c r="AK66" s="23"/>
      <c r="AL66" s="23"/>
      <c r="AM66" s="23"/>
      <c r="AN66" s="23"/>
      <c r="AO66" s="23"/>
      <c r="AP66" s="23"/>
      <c r="AQ66" s="25"/>
      <c r="AR66" s="25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5"/>
      <c r="BF66" s="1"/>
      <c r="BG66" s="44"/>
    </row>
    <row r="67" spans="1:59" s="48" customFormat="1" x14ac:dyDescent="0.25">
      <c r="A67" s="42"/>
      <c r="B67" s="22" t="s">
        <v>84</v>
      </c>
      <c r="C67" s="49" t="s">
        <v>72</v>
      </c>
      <c r="D67" s="22" t="s">
        <v>125</v>
      </c>
      <c r="E67" s="45"/>
      <c r="F67" s="43">
        <v>4</v>
      </c>
      <c r="G67" s="22" t="s">
        <v>106</v>
      </c>
      <c r="H67" s="22">
        <v>1</v>
      </c>
      <c r="I67" s="22">
        <v>53799</v>
      </c>
      <c r="J67" s="22">
        <f>I67*125/100</f>
        <v>67248.75</v>
      </c>
      <c r="K67" s="22"/>
      <c r="L67" s="22"/>
      <c r="M67" s="22"/>
      <c r="N67" s="22"/>
      <c r="O67" s="22"/>
      <c r="P67" s="22"/>
      <c r="Q67" s="22"/>
      <c r="R67" s="22"/>
      <c r="S67" s="22"/>
      <c r="T67" s="46"/>
      <c r="U67" s="46"/>
      <c r="V67" s="46"/>
      <c r="W67" s="46"/>
      <c r="X67" s="46"/>
      <c r="Y67" s="46"/>
      <c r="Z67" s="46"/>
      <c r="AA67" s="46"/>
      <c r="AB67" s="22"/>
      <c r="AC67" s="22"/>
      <c r="AD67" s="22"/>
      <c r="AE67" s="22"/>
      <c r="AF67" s="22"/>
      <c r="AG67" s="22"/>
      <c r="AH67" s="22"/>
      <c r="AI67" s="22"/>
      <c r="AJ67" s="47"/>
      <c r="AK67" s="22"/>
      <c r="AL67" s="22"/>
      <c r="AM67" s="22"/>
      <c r="AN67" s="22"/>
      <c r="AO67" s="22"/>
      <c r="AP67" s="22"/>
      <c r="AQ67" s="47"/>
      <c r="AR67" s="47"/>
      <c r="AS67" s="22"/>
      <c r="AT67" s="22"/>
      <c r="AU67" s="22"/>
      <c r="AV67" s="22">
        <f>J67*0.5</f>
        <v>33624.375</v>
      </c>
      <c r="AW67" s="22"/>
      <c r="AX67" s="22">
        <v>2654.5</v>
      </c>
      <c r="AY67" s="22">
        <f>(AV67+AW67)*10%</f>
        <v>3362.4375</v>
      </c>
      <c r="AZ67" s="22"/>
      <c r="BA67" s="22"/>
      <c r="BB67" s="22"/>
      <c r="BC67" s="22">
        <f>(AV67+AY67)*23%</f>
        <v>8506.9668750000001</v>
      </c>
      <c r="BD67" s="22"/>
      <c r="BE67" s="47">
        <f>AR67+AS67+AT67+AU67+AV67+AX67+AY67+BD67</f>
        <v>39641.3125</v>
      </c>
      <c r="BF67" s="42">
        <f>BC67</f>
        <v>8506.9668750000001</v>
      </c>
      <c r="BG67" s="58">
        <f>BE67+BF67</f>
        <v>48148.279374999998</v>
      </c>
    </row>
    <row r="68" spans="1:59" s="16" customFormat="1" x14ac:dyDescent="0.25">
      <c r="A68" s="40"/>
      <c r="B68" s="22" t="s">
        <v>84</v>
      </c>
      <c r="C68" s="17" t="s">
        <v>80</v>
      </c>
      <c r="D68" s="23" t="s">
        <v>109</v>
      </c>
      <c r="E68" s="34"/>
      <c r="F68" s="24">
        <v>6</v>
      </c>
      <c r="G68" s="23" t="s">
        <v>105</v>
      </c>
      <c r="H68" s="23">
        <v>3</v>
      </c>
      <c r="I68" s="23">
        <v>61232</v>
      </c>
      <c r="J68" s="23">
        <f>I68*125/100</f>
        <v>76540</v>
      </c>
      <c r="K68" s="23"/>
      <c r="L68" s="23"/>
      <c r="M68" s="23"/>
      <c r="N68" s="23"/>
      <c r="O68" s="23"/>
      <c r="P68" s="23"/>
      <c r="Q68" s="23"/>
      <c r="R68" s="23"/>
      <c r="S68" s="23"/>
      <c r="T68" s="18"/>
      <c r="U68" s="18"/>
      <c r="V68" s="18"/>
      <c r="W68" s="18"/>
      <c r="X68" s="18"/>
      <c r="Y68" s="18"/>
      <c r="Z68" s="23"/>
      <c r="AA68" s="18"/>
      <c r="AB68" s="23"/>
      <c r="AC68" s="23"/>
      <c r="AD68" s="23"/>
      <c r="AE68" s="23"/>
      <c r="AF68" s="23"/>
      <c r="AG68" s="23"/>
      <c r="AH68" s="23"/>
      <c r="AI68" s="23"/>
      <c r="AJ68" s="25"/>
      <c r="AK68" s="23"/>
      <c r="AL68" s="23"/>
      <c r="AM68" s="23"/>
      <c r="AN68" s="23"/>
      <c r="AO68" s="23"/>
      <c r="AP68" s="23"/>
      <c r="AQ68" s="25"/>
      <c r="AR68" s="25"/>
      <c r="AS68" s="23"/>
      <c r="AT68" s="23"/>
      <c r="AU68" s="23"/>
      <c r="AV68" s="23">
        <f>J68*0.5</f>
        <v>38270</v>
      </c>
      <c r="AW68" s="23"/>
      <c r="AX68" s="23"/>
      <c r="AY68" s="22">
        <f>(AV68+AW68)*10%</f>
        <v>3827</v>
      </c>
      <c r="AZ68" s="22"/>
      <c r="BA68" s="22"/>
      <c r="BB68" s="23"/>
      <c r="BC68" s="22">
        <f t="shared" ref="BC68:BC70" si="54">(AV68+AY68)*23%</f>
        <v>9682.3100000000013</v>
      </c>
      <c r="BD68" s="23"/>
      <c r="BE68" s="47">
        <f>AR68+AS68+AT68+AU68+AV68+AX68+AY68+BD68</f>
        <v>42097</v>
      </c>
      <c r="BF68" s="42">
        <f t="shared" ref="BF68:BF70" si="55">BC68</f>
        <v>9682.3100000000013</v>
      </c>
      <c r="BG68" s="58">
        <f t="shared" ref="BG68:BG70" si="56">BE68+BF68</f>
        <v>51779.31</v>
      </c>
    </row>
    <row r="69" spans="1:59" x14ac:dyDescent="0.25">
      <c r="A69" s="40"/>
      <c r="B69" s="23" t="s">
        <v>178</v>
      </c>
      <c r="C69" s="23" t="s">
        <v>110</v>
      </c>
      <c r="D69" s="23" t="s">
        <v>179</v>
      </c>
      <c r="E69" s="34"/>
      <c r="F69" s="24">
        <v>0</v>
      </c>
      <c r="G69" s="23" t="s">
        <v>106</v>
      </c>
      <c r="H69" s="23">
        <v>1</v>
      </c>
      <c r="I69" s="23">
        <v>52029</v>
      </c>
      <c r="J69" s="23">
        <f>I69*125/100</f>
        <v>65036.25</v>
      </c>
      <c r="K69" s="41"/>
      <c r="L69" s="23"/>
      <c r="M69" s="23"/>
      <c r="N69" s="23"/>
      <c r="O69" s="23"/>
      <c r="P69" s="23"/>
      <c r="Q69" s="23"/>
      <c r="R69" s="23"/>
      <c r="S69" s="23"/>
      <c r="T69" s="18"/>
      <c r="U69" s="18"/>
      <c r="V69" s="18"/>
      <c r="W69" s="18"/>
      <c r="X69" s="18"/>
      <c r="Y69" s="18"/>
      <c r="Z69" s="23"/>
      <c r="AA69" s="18"/>
      <c r="AB69" s="23"/>
      <c r="AC69" s="23"/>
      <c r="AD69" s="23"/>
      <c r="AE69" s="23"/>
      <c r="AF69" s="23"/>
      <c r="AG69" s="23"/>
      <c r="AH69" s="23"/>
      <c r="AI69" s="23"/>
      <c r="AJ69" s="25"/>
      <c r="AK69" s="23"/>
      <c r="AL69" s="23"/>
      <c r="AM69" s="23"/>
      <c r="AN69" s="23"/>
      <c r="AO69" s="23"/>
      <c r="AP69" s="23"/>
      <c r="AQ69" s="25"/>
      <c r="AR69" s="25"/>
      <c r="AS69" s="23"/>
      <c r="AT69" s="23"/>
      <c r="AU69" s="23"/>
      <c r="AV69" s="23">
        <f>J69*0.5</f>
        <v>32518.125</v>
      </c>
      <c r="AW69" s="23"/>
      <c r="AX69" s="23"/>
      <c r="AY69" s="22">
        <f>(AV69+AW69)*10%</f>
        <v>3251.8125</v>
      </c>
      <c r="AZ69" s="22"/>
      <c r="BA69" s="22"/>
      <c r="BB69" s="23"/>
      <c r="BC69" s="22">
        <f t="shared" si="54"/>
        <v>8227.0856249999997</v>
      </c>
      <c r="BD69" s="23"/>
      <c r="BE69" s="47">
        <f>AR69+AS69+AT69+AU69+AV69+AX69+AY69+BD69</f>
        <v>35769.9375</v>
      </c>
      <c r="BF69" s="42">
        <f t="shared" si="55"/>
        <v>8227.0856249999997</v>
      </c>
      <c r="BG69" s="58">
        <f t="shared" si="56"/>
        <v>43997.023125</v>
      </c>
    </row>
    <row r="70" spans="1:59" s="16" customFormat="1" x14ac:dyDescent="0.25">
      <c r="A70" s="40"/>
      <c r="B70" s="23" t="s">
        <v>180</v>
      </c>
      <c r="C70" s="23" t="s">
        <v>87</v>
      </c>
      <c r="D70" s="23" t="s">
        <v>81</v>
      </c>
      <c r="E70" s="34"/>
      <c r="F70" s="24">
        <v>0</v>
      </c>
      <c r="G70" s="22" t="s">
        <v>106</v>
      </c>
      <c r="H70" s="22">
        <v>1</v>
      </c>
      <c r="I70" s="23">
        <v>52019</v>
      </c>
      <c r="J70" s="23">
        <f t="shared" si="51"/>
        <v>65023.75</v>
      </c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5"/>
      <c r="AS70" s="23"/>
      <c r="AT70" s="23"/>
      <c r="AU70" s="23"/>
      <c r="AV70" s="23">
        <f>J70</f>
        <v>65023.75</v>
      </c>
      <c r="AW70" s="23"/>
      <c r="AX70" s="23"/>
      <c r="AY70" s="22">
        <f>(AV70+AW70)*10%</f>
        <v>6502.375</v>
      </c>
      <c r="AZ70" s="22"/>
      <c r="BA70" s="22"/>
      <c r="BB70" s="23"/>
      <c r="BC70" s="22">
        <f t="shared" si="54"/>
        <v>16451.008750000001</v>
      </c>
      <c r="BD70" s="23"/>
      <c r="BE70" s="47">
        <f>AR70+AS70+AT70+AU70+AV70+AX70+AY70+BD70</f>
        <v>71526.125</v>
      </c>
      <c r="BF70" s="42">
        <f t="shared" si="55"/>
        <v>16451.008750000001</v>
      </c>
      <c r="BG70" s="58">
        <f t="shared" si="56"/>
        <v>87977.133750000008</v>
      </c>
    </row>
    <row r="71" spans="1:59" s="55" customFormat="1" x14ac:dyDescent="0.25">
      <c r="A71" s="54"/>
      <c r="B71" s="26" t="s">
        <v>119</v>
      </c>
      <c r="C71" s="21"/>
      <c r="D71" s="21"/>
      <c r="E71" s="35"/>
      <c r="F71" s="27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6"/>
      <c r="AW71" s="26"/>
      <c r="AX71" s="26">
        <f>SUM(AX67:AX70)</f>
        <v>2654.5</v>
      </c>
      <c r="AY71" s="26">
        <f>SUM(AY67:AY70)</f>
        <v>16943.625</v>
      </c>
      <c r="AZ71" s="26"/>
      <c r="BA71" s="26"/>
      <c r="BB71" s="26"/>
      <c r="BC71" s="26">
        <f>SUM(BC67:BC70)</f>
        <v>42867.371250000004</v>
      </c>
      <c r="BD71" s="26"/>
      <c r="BE71" s="28">
        <f>SUM(BE67:BE70)</f>
        <v>189034.375</v>
      </c>
      <c r="BF71" s="84">
        <f>SUM(BF67:BF70)</f>
        <v>42867.371250000004</v>
      </c>
      <c r="BG71" s="75">
        <f>SUM(BG67:BG70)</f>
        <v>231901.74625</v>
      </c>
    </row>
    <row r="72" spans="1:59" s="48" customFormat="1" x14ac:dyDescent="0.25">
      <c r="A72" s="42"/>
      <c r="B72" s="22" t="s">
        <v>84</v>
      </c>
      <c r="C72" s="22" t="s">
        <v>134</v>
      </c>
      <c r="D72" s="22" t="s">
        <v>73</v>
      </c>
      <c r="E72" s="45"/>
      <c r="F72" s="43">
        <v>2</v>
      </c>
      <c r="G72" s="22" t="s">
        <v>103</v>
      </c>
      <c r="H72" s="22">
        <v>4.4000000000000004</v>
      </c>
      <c r="I72" s="22">
        <v>60347</v>
      </c>
      <c r="J72" s="22">
        <f t="shared" ref="J72:J74" si="57">I72*125/100</f>
        <v>75433.75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49">
        <f>J72</f>
        <v>75433.75</v>
      </c>
      <c r="AW72" s="17">
        <f>AV72*75%</f>
        <v>56575.3125</v>
      </c>
      <c r="AX72" s="56"/>
      <c r="AY72" s="17">
        <f t="shared" ref="AY72:AY74" si="58">(AV72+AW72)*10%</f>
        <v>13200.90625</v>
      </c>
      <c r="AZ72" s="17"/>
      <c r="BA72" s="17"/>
      <c r="BB72" s="56"/>
      <c r="BC72" s="56"/>
      <c r="BD72" s="56"/>
      <c r="BE72" s="25">
        <f t="shared" ref="BE72:BE77" si="59">AR72+AS72+AT72+AU72+AV72+AX72+AY72+BD72</f>
        <v>88634.65625</v>
      </c>
      <c r="BF72" s="40">
        <f t="shared" ref="BF72:BF77" si="60">AW72</f>
        <v>56575.3125</v>
      </c>
      <c r="BG72" s="44">
        <f t="shared" ref="BG72:BG74" si="61">BE72+BF72</f>
        <v>145209.96875</v>
      </c>
    </row>
    <row r="73" spans="1:59" x14ac:dyDescent="0.25">
      <c r="A73" s="42"/>
      <c r="B73" s="22" t="s">
        <v>150</v>
      </c>
      <c r="C73" s="49" t="s">
        <v>155</v>
      </c>
      <c r="D73" s="22" t="s">
        <v>73</v>
      </c>
      <c r="E73" s="45"/>
      <c r="F73" s="43">
        <v>4</v>
      </c>
      <c r="G73" s="22" t="s">
        <v>103</v>
      </c>
      <c r="H73" s="22">
        <v>4.4000000000000004</v>
      </c>
      <c r="I73" s="22">
        <v>61055</v>
      </c>
      <c r="J73" s="22">
        <f t="shared" si="57"/>
        <v>76318.75</v>
      </c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>
        <f>J73*1.25</f>
        <v>95398.4375</v>
      </c>
      <c r="AW73" s="17">
        <f>AV73*75%</f>
        <v>71548.828125</v>
      </c>
      <c r="AX73" s="22"/>
      <c r="AY73" s="17">
        <f t="shared" si="58"/>
        <v>16694.7265625</v>
      </c>
      <c r="AZ73" s="17"/>
      <c r="BA73" s="17"/>
      <c r="BB73" s="22"/>
      <c r="BC73" s="22"/>
      <c r="BD73" s="22"/>
      <c r="BE73" s="25">
        <f>AR73+AS73+AT73+AU73+AV73+AX73+AY73+BD73</f>
        <v>112093.1640625</v>
      </c>
      <c r="BF73" s="40">
        <f>AW73</f>
        <v>71548.828125</v>
      </c>
      <c r="BG73" s="44">
        <f t="shared" si="61"/>
        <v>183641.9921875</v>
      </c>
    </row>
    <row r="74" spans="1:59" x14ac:dyDescent="0.25">
      <c r="A74" s="1"/>
      <c r="B74" s="19" t="s">
        <v>207</v>
      </c>
      <c r="C74" s="3" t="s">
        <v>71</v>
      </c>
      <c r="D74" s="19" t="s">
        <v>73</v>
      </c>
      <c r="E74" s="33"/>
      <c r="F74" s="20">
        <v>32</v>
      </c>
      <c r="G74" s="19" t="s">
        <v>103</v>
      </c>
      <c r="H74" s="19">
        <v>4.4000000000000004</v>
      </c>
      <c r="I74" s="19">
        <v>66010</v>
      </c>
      <c r="J74" s="19">
        <f t="shared" si="57"/>
        <v>82512.5</v>
      </c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>
        <f>J74*0.5</f>
        <v>41256.25</v>
      </c>
      <c r="AW74" s="19">
        <f>AV74*95%</f>
        <v>39193.4375</v>
      </c>
      <c r="AX74" s="19"/>
      <c r="AY74" s="17">
        <f t="shared" si="58"/>
        <v>8044.96875</v>
      </c>
      <c r="AZ74" s="17"/>
      <c r="BA74" s="17"/>
      <c r="BB74" s="19"/>
      <c r="BC74" s="19"/>
      <c r="BD74" s="19"/>
      <c r="BE74" s="25">
        <f t="shared" ref="BE74" si="62">AR74+AS74+AT74+AU74+AV74+AX74+AY74+BD74</f>
        <v>49301.21875</v>
      </c>
      <c r="BF74" s="40">
        <f t="shared" ref="BF74" si="63">AW74</f>
        <v>39193.4375</v>
      </c>
      <c r="BG74" s="44">
        <f t="shared" si="61"/>
        <v>88494.65625</v>
      </c>
    </row>
    <row r="75" spans="1:59" s="16" customFormat="1" ht="17.25" customHeight="1" x14ac:dyDescent="0.25">
      <c r="A75" s="1"/>
      <c r="B75" s="19" t="s">
        <v>124</v>
      </c>
      <c r="C75" s="19" t="s">
        <v>92</v>
      </c>
      <c r="D75" s="19" t="s">
        <v>91</v>
      </c>
      <c r="E75" s="33"/>
      <c r="F75" s="20">
        <v>2</v>
      </c>
      <c r="G75" s="19" t="s">
        <v>106</v>
      </c>
      <c r="H75" s="19">
        <v>1</v>
      </c>
      <c r="I75" s="19">
        <v>53268</v>
      </c>
      <c r="J75" s="19">
        <f t="shared" ref="J75" si="64">I75*125/100</f>
        <v>66585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>
        <f>J75*1.3</f>
        <v>86560.5</v>
      </c>
      <c r="AW75" s="19"/>
      <c r="AX75" s="19"/>
      <c r="AY75" s="17">
        <f t="shared" ref="AY75" si="65">(AV75+AW75)*10%</f>
        <v>8656.0500000000011</v>
      </c>
      <c r="AZ75" s="17"/>
      <c r="BA75" s="17"/>
      <c r="BB75" s="19"/>
      <c r="BC75" s="19">
        <f>(AV75+AY75)*23%</f>
        <v>21899.806500000002</v>
      </c>
      <c r="BD75" s="19"/>
      <c r="BE75" s="25">
        <f t="shared" si="59"/>
        <v>95216.55</v>
      </c>
      <c r="BF75" s="40">
        <f>BC75</f>
        <v>21899.806500000002</v>
      </c>
      <c r="BG75" s="44">
        <f t="shared" ref="BG75" si="66">BE75+BF75</f>
        <v>117116.35650000001</v>
      </c>
    </row>
    <row r="76" spans="1:59" s="16" customFormat="1" x14ac:dyDescent="0.25">
      <c r="A76" s="40"/>
      <c r="B76" s="23" t="s">
        <v>84</v>
      </c>
      <c r="C76" s="17" t="s">
        <v>89</v>
      </c>
      <c r="D76" s="23" t="s">
        <v>88</v>
      </c>
      <c r="E76" s="34"/>
      <c r="F76" s="24">
        <v>21</v>
      </c>
      <c r="G76" s="23" t="s">
        <v>103</v>
      </c>
      <c r="H76" s="23">
        <v>3.4</v>
      </c>
      <c r="I76" s="23">
        <v>72912</v>
      </c>
      <c r="J76" s="23">
        <f t="shared" ref="J76:J77" si="67">I76*125/100</f>
        <v>91140</v>
      </c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>
        <f>J76*0.25</f>
        <v>22785</v>
      </c>
      <c r="AW76" s="17">
        <f>AV76*75%</f>
        <v>17088.75</v>
      </c>
      <c r="AX76" s="23"/>
      <c r="AY76" s="17">
        <f t="shared" ref="AY76:AY77" si="68">(AV76+AW76)*10%</f>
        <v>3987.375</v>
      </c>
      <c r="AZ76" s="17"/>
      <c r="BA76" s="17"/>
      <c r="BB76" s="23"/>
      <c r="BC76" s="23"/>
      <c r="BD76" s="23"/>
      <c r="BE76" s="25">
        <f t="shared" si="59"/>
        <v>26772.375</v>
      </c>
      <c r="BF76" s="40">
        <f t="shared" si="60"/>
        <v>17088.75</v>
      </c>
      <c r="BG76" s="44">
        <f t="shared" ref="BG76:BG77" si="69">BE76+BF76</f>
        <v>43861.125</v>
      </c>
    </row>
    <row r="77" spans="1:59" s="14" customFormat="1" ht="17.25" customHeight="1" x14ac:dyDescent="0.25">
      <c r="A77" s="1"/>
      <c r="B77" s="22" t="s">
        <v>77</v>
      </c>
      <c r="C77" s="19" t="s">
        <v>90</v>
      </c>
      <c r="D77" s="23" t="s">
        <v>88</v>
      </c>
      <c r="E77" s="45">
        <v>2</v>
      </c>
      <c r="F77" s="43">
        <v>28</v>
      </c>
      <c r="G77" s="22" t="s">
        <v>103</v>
      </c>
      <c r="H77" s="22">
        <v>2.2999999999999998</v>
      </c>
      <c r="I77" s="22">
        <v>91317</v>
      </c>
      <c r="J77" s="19">
        <f t="shared" si="67"/>
        <v>114146.25</v>
      </c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>
        <f>J77*0.25</f>
        <v>28536.5625</v>
      </c>
      <c r="AW77" s="17">
        <f>AV77*75%</f>
        <v>21402.421875</v>
      </c>
      <c r="AX77" s="19"/>
      <c r="AY77" s="17">
        <f t="shared" si="68"/>
        <v>4993.8984375</v>
      </c>
      <c r="AZ77" s="17"/>
      <c r="BA77" s="17"/>
      <c r="BB77" s="19"/>
      <c r="BC77" s="19"/>
      <c r="BD77" s="19"/>
      <c r="BE77" s="25">
        <f t="shared" si="59"/>
        <v>33530.4609375</v>
      </c>
      <c r="BF77" s="40">
        <f t="shared" si="60"/>
        <v>21402.421875</v>
      </c>
      <c r="BG77" s="44">
        <f t="shared" si="69"/>
        <v>54932.8828125</v>
      </c>
    </row>
    <row r="78" spans="1:59" x14ac:dyDescent="0.25">
      <c r="A78" s="1"/>
      <c r="B78" s="60" t="s">
        <v>139</v>
      </c>
      <c r="C78" s="21"/>
      <c r="D78" s="21"/>
      <c r="E78" s="35"/>
      <c r="F78" s="27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6"/>
      <c r="AW78" s="26">
        <f>SUM(AW72:AW77)</f>
        <v>205808.75</v>
      </c>
      <c r="AX78" s="26"/>
      <c r="AY78" s="26">
        <f>SUM(AY72:AY77)</f>
        <v>55577.925000000003</v>
      </c>
      <c r="AZ78" s="26"/>
      <c r="BA78" s="26"/>
      <c r="BB78" s="26"/>
      <c r="BC78" s="26">
        <f>SUM(BC72:BC77)</f>
        <v>21899.806500000002</v>
      </c>
      <c r="BD78" s="26"/>
      <c r="BE78" s="28">
        <f>SUM(BE72:BE77)</f>
        <v>405548.42499999999</v>
      </c>
      <c r="BF78" s="84">
        <f>SUM(BF72:BF77)</f>
        <v>227708.55650000001</v>
      </c>
      <c r="BG78" s="75">
        <f>SUM(BG72:BG77)</f>
        <v>633256.98149999999</v>
      </c>
    </row>
    <row r="79" spans="1:59" s="61" customFormat="1" x14ac:dyDescent="0.25">
      <c r="B79" s="39"/>
      <c r="C79" s="62"/>
      <c r="D79" s="39"/>
      <c r="E79" s="63"/>
      <c r="BF79" s="64"/>
      <c r="BG79" s="65"/>
    </row>
    <row r="80" spans="1:59" x14ac:dyDescent="0.25">
      <c r="B80" t="s">
        <v>158</v>
      </c>
      <c r="C80" s="13"/>
      <c r="D80" s="142" t="s">
        <v>157</v>
      </c>
      <c r="F80"/>
      <c r="BF80" s="16"/>
      <c r="BG80" s="59"/>
    </row>
    <row r="81" spans="1:59" s="14" customFormat="1" x14ac:dyDescent="0.25">
      <c r="A81"/>
      <c r="B81"/>
      <c r="C81"/>
      <c r="D81" s="36"/>
      <c r="E81" s="36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 s="16"/>
      <c r="BG81" s="59"/>
    </row>
    <row r="82" spans="1:59" x14ac:dyDescent="0.25">
      <c r="B82" t="s">
        <v>116</v>
      </c>
      <c r="D82" s="36" t="s">
        <v>128</v>
      </c>
      <c r="BF82" s="16"/>
      <c r="BG82" s="59"/>
    </row>
    <row r="83" spans="1:59" s="14" customFormat="1" x14ac:dyDescent="0.25">
      <c r="A83"/>
      <c r="B83"/>
      <c r="C83"/>
      <c r="D83" s="36"/>
      <c r="E83" s="36"/>
      <c r="F83" s="1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 s="16"/>
      <c r="BG83" s="59"/>
    </row>
    <row r="84" spans="1:59" x14ac:dyDescent="0.25">
      <c r="B84" t="s">
        <v>205</v>
      </c>
      <c r="D84" s="180" t="s">
        <v>86</v>
      </c>
    </row>
  </sheetData>
  <mergeCells count="39">
    <mergeCell ref="B10:S10"/>
    <mergeCell ref="N25:AG25"/>
    <mergeCell ref="G25:G27"/>
    <mergeCell ref="A25:A27"/>
    <mergeCell ref="B25:B27"/>
    <mergeCell ref="C25:C27"/>
    <mergeCell ref="D25:D27"/>
    <mergeCell ref="F25:F27"/>
    <mergeCell ref="I25:I27"/>
    <mergeCell ref="J25:J27"/>
    <mergeCell ref="K25:K27"/>
    <mergeCell ref="L25:L27"/>
    <mergeCell ref="M25:M27"/>
    <mergeCell ref="N26:S26"/>
    <mergeCell ref="T26:AA26"/>
    <mergeCell ref="AB26:AG26"/>
    <mergeCell ref="AS25:AU25"/>
    <mergeCell ref="AV25:AV27"/>
    <mergeCell ref="AS26:AS27"/>
    <mergeCell ref="AT26:AT27"/>
    <mergeCell ref="AU26:AU27"/>
    <mergeCell ref="AO26:AP26"/>
    <mergeCell ref="AH25:AJ25"/>
    <mergeCell ref="AK25:AP25"/>
    <mergeCell ref="AQ25:AQ27"/>
    <mergeCell ref="AR25:AR27"/>
    <mergeCell ref="AK26:AL26"/>
    <mergeCell ref="AM26:AN26"/>
    <mergeCell ref="AW25:AW27"/>
    <mergeCell ref="BF25:BF27"/>
    <mergeCell ref="BG25:BG27"/>
    <mergeCell ref="AX25:AX27"/>
    <mergeCell ref="BB25:BB27"/>
    <mergeCell ref="BD25:BD27"/>
    <mergeCell ref="BE25:BE27"/>
    <mergeCell ref="AY25:AY27"/>
    <mergeCell ref="AZ25:AZ27"/>
    <mergeCell ref="BA25:BA27"/>
    <mergeCell ref="BC25:BC27"/>
  </mergeCells>
  <pageMargins left="0" right="0.70866141732283472" top="0" bottom="0" header="0.31496062992125984" footer="0.31496062992125984"/>
  <pageSetup paperSize="9" scale="58" orientation="landscape" r:id="rId1"/>
  <colBreaks count="1" manualBreakCount="1">
    <brk id="29" max="8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1"/>
  <sheetViews>
    <sheetView workbookViewId="0">
      <selection activeCell="B16" sqref="B16:D16"/>
    </sheetView>
  </sheetViews>
  <sheetFormatPr defaultRowHeight="15" x14ac:dyDescent="0.25"/>
  <cols>
    <col min="1" max="1" width="3.85546875" customWidth="1"/>
    <col min="2" max="2" width="19.7109375" customWidth="1"/>
    <col min="3" max="3" width="14.28515625" customWidth="1"/>
    <col min="4" max="4" width="10.7109375" customWidth="1"/>
    <col min="5" max="5" width="8.5703125" customWidth="1"/>
    <col min="6" max="6" width="5.42578125" customWidth="1"/>
    <col min="7" max="7" width="4.5703125" customWidth="1"/>
    <col min="8" max="8" width="6" customWidth="1"/>
    <col min="9" max="9" width="7.7109375" customWidth="1"/>
    <col min="10" max="10" width="7.85546875" customWidth="1"/>
    <col min="11" max="11" width="7.5703125" customWidth="1"/>
    <col min="12" max="12" width="6.28515625" customWidth="1"/>
    <col min="13" max="13" width="4.5703125" customWidth="1"/>
    <col min="14" max="14" width="5.28515625" customWidth="1"/>
    <col min="15" max="15" width="4.7109375" customWidth="1"/>
    <col min="16" max="16" width="7.140625" customWidth="1"/>
    <col min="17" max="17" width="5.140625" customWidth="1"/>
    <col min="18" max="18" width="4.28515625" customWidth="1"/>
    <col min="19" max="19" width="6.42578125" customWidth="1"/>
    <col min="20" max="20" width="4.85546875" customWidth="1"/>
    <col min="21" max="21" width="6.28515625" customWidth="1"/>
    <col min="22" max="22" width="4.85546875" customWidth="1"/>
    <col min="23" max="23" width="4.5703125" customWidth="1"/>
    <col min="24" max="24" width="5" customWidth="1"/>
    <col min="25" max="25" width="5.28515625" customWidth="1"/>
    <col min="26" max="26" width="5" customWidth="1"/>
    <col min="27" max="27" width="6.140625" customWidth="1"/>
    <col min="28" max="28" width="5.28515625" customWidth="1"/>
    <col min="29" max="29" width="3.85546875" customWidth="1"/>
    <col min="30" max="30" width="3.140625" customWidth="1"/>
    <col min="31" max="31" width="4.28515625" customWidth="1"/>
    <col min="32" max="32" width="4.140625" customWidth="1"/>
    <col min="33" max="33" width="5.28515625" customWidth="1"/>
    <col min="34" max="34" width="3.42578125" customWidth="1"/>
    <col min="35" max="35" width="8.28515625" customWidth="1"/>
    <col min="37" max="37" width="4.5703125" customWidth="1"/>
    <col min="38" max="38" width="7.140625" hidden="1" customWidth="1"/>
    <col min="39" max="40" width="6.5703125" hidden="1" customWidth="1"/>
    <col min="41" max="41" width="5.7109375" customWidth="1"/>
    <col min="42" max="42" width="5.85546875" customWidth="1"/>
    <col min="43" max="43" width="5.42578125" customWidth="1"/>
    <col min="44" max="44" width="9.7109375" customWidth="1"/>
    <col min="45" max="45" width="7.28515625" customWidth="1"/>
    <col min="46" max="46" width="3.85546875" customWidth="1"/>
    <col min="47" max="47" width="5.7109375" customWidth="1"/>
    <col min="48" max="49" width="8.28515625" customWidth="1"/>
    <col min="50" max="53" width="7.5703125" customWidth="1"/>
    <col min="54" max="55" width="9.140625" customWidth="1"/>
    <col min="56" max="56" width="6.42578125" customWidth="1"/>
    <col min="57" max="57" width="11.28515625" customWidth="1"/>
    <col min="58" max="58" width="9.5703125" bestFit="1" customWidth="1"/>
    <col min="59" max="59" width="9.7109375" customWidth="1"/>
  </cols>
  <sheetData>
    <row r="1" spans="1:59" ht="34.5" customHeight="1" x14ac:dyDescent="0.25">
      <c r="B1" t="s">
        <v>208</v>
      </c>
    </row>
    <row r="2" spans="1:59" x14ac:dyDescent="0.25">
      <c r="A2" s="274" t="s">
        <v>39</v>
      </c>
      <c r="B2" s="261" t="s">
        <v>40</v>
      </c>
      <c r="C2" s="261" t="s">
        <v>41</v>
      </c>
      <c r="D2" s="261" t="s">
        <v>42</v>
      </c>
      <c r="E2" s="31"/>
      <c r="F2" s="261" t="s">
        <v>43</v>
      </c>
      <c r="G2" s="252" t="s">
        <v>99</v>
      </c>
      <c r="H2" s="227"/>
      <c r="I2" s="277" t="s">
        <v>44</v>
      </c>
      <c r="J2" s="261" t="s">
        <v>45</v>
      </c>
      <c r="K2" s="278" t="s">
        <v>142</v>
      </c>
      <c r="L2" s="270" t="s">
        <v>46</v>
      </c>
      <c r="M2" s="270" t="s">
        <v>47</v>
      </c>
      <c r="N2" s="269" t="s">
        <v>48</v>
      </c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 t="s">
        <v>49</v>
      </c>
      <c r="AI2" s="269"/>
      <c r="AJ2" s="269"/>
      <c r="AK2" s="269" t="s">
        <v>50</v>
      </c>
      <c r="AL2" s="269"/>
      <c r="AM2" s="269"/>
      <c r="AN2" s="269"/>
      <c r="AO2" s="269"/>
      <c r="AP2" s="269"/>
      <c r="AQ2" s="270" t="s">
        <v>47</v>
      </c>
      <c r="AR2" s="261" t="s">
        <v>51</v>
      </c>
      <c r="AS2" s="261" t="s">
        <v>52</v>
      </c>
      <c r="AT2" s="261"/>
      <c r="AU2" s="261"/>
      <c r="AV2" s="261" t="s">
        <v>53</v>
      </c>
      <c r="AW2" s="252" t="s">
        <v>199</v>
      </c>
      <c r="AX2" s="261" t="s">
        <v>96</v>
      </c>
      <c r="AY2" s="252" t="s">
        <v>138</v>
      </c>
      <c r="AZ2" s="262" t="s">
        <v>143</v>
      </c>
      <c r="BA2" s="262" t="s">
        <v>203</v>
      </c>
      <c r="BB2" s="262" t="s">
        <v>144</v>
      </c>
      <c r="BC2" s="266" t="s">
        <v>204</v>
      </c>
      <c r="BD2" s="265" t="s">
        <v>194</v>
      </c>
      <c r="BE2" s="265" t="s">
        <v>135</v>
      </c>
      <c r="BF2" s="255" t="s">
        <v>136</v>
      </c>
      <c r="BG2" s="258" t="s">
        <v>137</v>
      </c>
    </row>
    <row r="3" spans="1:59" x14ac:dyDescent="0.25">
      <c r="A3" s="275"/>
      <c r="B3" s="261"/>
      <c r="C3" s="261"/>
      <c r="D3" s="261"/>
      <c r="E3" s="31"/>
      <c r="F3" s="261"/>
      <c r="G3" s="253"/>
      <c r="H3" s="217"/>
      <c r="I3" s="253"/>
      <c r="J3" s="261"/>
      <c r="K3" s="279"/>
      <c r="L3" s="271"/>
      <c r="M3" s="271"/>
      <c r="N3" s="269" t="s">
        <v>55</v>
      </c>
      <c r="O3" s="269"/>
      <c r="P3" s="269"/>
      <c r="Q3" s="269"/>
      <c r="R3" s="269"/>
      <c r="S3" s="269"/>
      <c r="T3" s="269" t="s">
        <v>56</v>
      </c>
      <c r="U3" s="269"/>
      <c r="V3" s="269"/>
      <c r="W3" s="269"/>
      <c r="X3" s="269"/>
      <c r="Y3" s="269"/>
      <c r="Z3" s="269"/>
      <c r="AA3" s="269"/>
      <c r="AB3" s="269" t="s">
        <v>57</v>
      </c>
      <c r="AC3" s="269"/>
      <c r="AD3" s="269"/>
      <c r="AE3" s="269"/>
      <c r="AF3" s="269"/>
      <c r="AG3" s="269"/>
      <c r="AH3" s="224" t="s">
        <v>55</v>
      </c>
      <c r="AI3" s="224" t="s">
        <v>56</v>
      </c>
      <c r="AJ3" s="224" t="s">
        <v>57</v>
      </c>
      <c r="AK3" s="269" t="s">
        <v>55</v>
      </c>
      <c r="AL3" s="269"/>
      <c r="AM3" s="269" t="s">
        <v>56</v>
      </c>
      <c r="AN3" s="269"/>
      <c r="AO3" s="269" t="s">
        <v>57</v>
      </c>
      <c r="AP3" s="269"/>
      <c r="AQ3" s="271"/>
      <c r="AR3" s="261"/>
      <c r="AS3" s="261" t="s">
        <v>58</v>
      </c>
      <c r="AT3" s="261" t="s">
        <v>59</v>
      </c>
      <c r="AU3" s="261" t="s">
        <v>60</v>
      </c>
      <c r="AV3" s="261"/>
      <c r="AW3" s="253"/>
      <c r="AX3" s="261"/>
      <c r="AY3" s="253"/>
      <c r="AZ3" s="263"/>
      <c r="BA3" s="263"/>
      <c r="BB3" s="263"/>
      <c r="BC3" s="267"/>
      <c r="BD3" s="261"/>
      <c r="BE3" s="261"/>
      <c r="BF3" s="256"/>
      <c r="BG3" s="259"/>
    </row>
    <row r="4" spans="1:59" ht="60" x14ac:dyDescent="0.25">
      <c r="A4" s="276"/>
      <c r="B4" s="261"/>
      <c r="C4" s="261"/>
      <c r="D4" s="261"/>
      <c r="E4" s="32" t="s">
        <v>98</v>
      </c>
      <c r="F4" s="261"/>
      <c r="G4" s="254"/>
      <c r="H4" s="171"/>
      <c r="I4" s="254"/>
      <c r="J4" s="261"/>
      <c r="K4" s="280"/>
      <c r="L4" s="272"/>
      <c r="M4" s="272"/>
      <c r="N4" s="4" t="s">
        <v>181</v>
      </c>
      <c r="O4" s="6">
        <v>1</v>
      </c>
      <c r="P4" s="70" t="s">
        <v>182</v>
      </c>
      <c r="Q4" s="70" t="s">
        <v>183</v>
      </c>
      <c r="R4" s="66" t="s">
        <v>141</v>
      </c>
      <c r="S4" s="6" t="s">
        <v>6</v>
      </c>
      <c r="T4" s="4" t="s">
        <v>195</v>
      </c>
      <c r="U4" s="70" t="s">
        <v>184</v>
      </c>
      <c r="V4" s="6">
        <v>7</v>
      </c>
      <c r="W4" s="6">
        <v>8</v>
      </c>
      <c r="X4" s="6">
        <v>9</v>
      </c>
      <c r="Y4" s="66" t="s">
        <v>196</v>
      </c>
      <c r="Z4" s="66" t="s">
        <v>141</v>
      </c>
      <c r="AA4" s="6" t="s">
        <v>6</v>
      </c>
      <c r="AB4" s="6"/>
      <c r="AC4" s="6"/>
      <c r="AD4" s="6">
        <v>10</v>
      </c>
      <c r="AE4" s="6"/>
      <c r="AF4" s="66" t="s">
        <v>141</v>
      </c>
      <c r="AG4" s="6" t="s">
        <v>6</v>
      </c>
      <c r="AH4" s="6"/>
      <c r="AI4" s="6"/>
      <c r="AJ4" s="6"/>
      <c r="AK4" s="6" t="s">
        <v>61</v>
      </c>
      <c r="AL4" s="10" t="s">
        <v>62</v>
      </c>
      <c r="AM4" s="6" t="s">
        <v>61</v>
      </c>
      <c r="AN4" s="10" t="s">
        <v>62</v>
      </c>
      <c r="AO4" s="6" t="s">
        <v>61</v>
      </c>
      <c r="AP4" s="10" t="s">
        <v>62</v>
      </c>
      <c r="AQ4" s="272"/>
      <c r="AR4" s="261"/>
      <c r="AS4" s="261"/>
      <c r="AT4" s="261"/>
      <c r="AU4" s="261"/>
      <c r="AV4" s="261"/>
      <c r="AW4" s="254"/>
      <c r="AX4" s="261"/>
      <c r="AY4" s="254"/>
      <c r="AZ4" s="264"/>
      <c r="BA4" s="264"/>
      <c r="BB4" s="264"/>
      <c r="BC4" s="268"/>
      <c r="BD4" s="261"/>
      <c r="BE4" s="261"/>
      <c r="BF4" s="257"/>
      <c r="BG4" s="260"/>
    </row>
    <row r="5" spans="1:59" x14ac:dyDescent="0.25">
      <c r="A5" s="226"/>
      <c r="B5" s="243" t="s">
        <v>209</v>
      </c>
      <c r="C5" s="221"/>
      <c r="D5" s="221"/>
      <c r="E5" s="32"/>
      <c r="F5" s="221"/>
      <c r="G5" s="218"/>
      <c r="H5" s="171"/>
      <c r="I5" s="218"/>
      <c r="J5" s="221"/>
      <c r="K5" s="228"/>
      <c r="L5" s="225"/>
      <c r="M5" s="225"/>
      <c r="N5" s="4"/>
      <c r="O5" s="6"/>
      <c r="P5" s="70"/>
      <c r="Q5" s="70"/>
      <c r="R5" s="66"/>
      <c r="S5" s="6"/>
      <c r="T5" s="4"/>
      <c r="U5" s="70"/>
      <c r="V5" s="6"/>
      <c r="W5" s="6"/>
      <c r="X5" s="6"/>
      <c r="Y5" s="66"/>
      <c r="Z5" s="66"/>
      <c r="AA5" s="6"/>
      <c r="AB5" s="6"/>
      <c r="AC5" s="6"/>
      <c r="AD5" s="6"/>
      <c r="AE5" s="6"/>
      <c r="AF5" s="66"/>
      <c r="AG5" s="6"/>
      <c r="AH5" s="6"/>
      <c r="AI5" s="6"/>
      <c r="AJ5" s="6"/>
      <c r="AK5" s="6"/>
      <c r="AL5" s="10"/>
      <c r="AM5" s="6"/>
      <c r="AN5" s="10"/>
      <c r="AO5" s="6"/>
      <c r="AP5" s="10"/>
      <c r="AQ5" s="225"/>
      <c r="AR5" s="221"/>
      <c r="AS5" s="221"/>
      <c r="AT5" s="221"/>
      <c r="AU5" s="221"/>
      <c r="AV5" s="221"/>
      <c r="AW5" s="218"/>
      <c r="AX5" s="221"/>
      <c r="AY5" s="218"/>
      <c r="AZ5" s="222"/>
      <c r="BA5" s="222"/>
      <c r="BB5" s="222"/>
      <c r="BC5" s="223"/>
      <c r="BD5" s="221"/>
      <c r="BE5" s="221"/>
      <c r="BF5" s="219"/>
      <c r="BG5" s="220"/>
    </row>
    <row r="6" spans="1:59" s="48" customFormat="1" x14ac:dyDescent="0.25">
      <c r="A6" s="172"/>
      <c r="B6" s="178" t="s">
        <v>145</v>
      </c>
      <c r="C6" s="178" t="s">
        <v>152</v>
      </c>
      <c r="D6" s="178" t="s">
        <v>65</v>
      </c>
      <c r="E6" s="178"/>
      <c r="F6" s="244">
        <v>10</v>
      </c>
      <c r="G6" s="77" t="s">
        <v>104</v>
      </c>
      <c r="H6" s="45">
        <v>1.4</v>
      </c>
      <c r="I6" s="245">
        <v>89016</v>
      </c>
      <c r="J6" s="77">
        <f t="shared" ref="J6:J14" si="0">I6*125/100</f>
        <v>111270</v>
      </c>
      <c r="K6" s="22"/>
      <c r="L6" s="245"/>
      <c r="M6" s="245"/>
      <c r="N6" s="79"/>
      <c r="O6" s="79"/>
      <c r="P6" s="79"/>
      <c r="Q6" s="79"/>
      <c r="R6" s="176"/>
      <c r="S6" s="77">
        <f>N6+O6+P6+Q6+R6</f>
        <v>0</v>
      </c>
      <c r="T6" s="79"/>
      <c r="U6" s="79"/>
      <c r="V6" s="79"/>
      <c r="W6" s="79"/>
      <c r="X6" s="79"/>
      <c r="Y6" s="176"/>
      <c r="Z6" s="176"/>
      <c r="AA6" s="79">
        <f>T6+U6+V6+W6+X6+Y6+Z6</f>
        <v>0</v>
      </c>
      <c r="AB6" s="79"/>
      <c r="AC6" s="79"/>
      <c r="AD6" s="79"/>
      <c r="AE6" s="79"/>
      <c r="AF6" s="176"/>
      <c r="AG6" s="77">
        <f>AB6+AD6+AE6+AF6+AC6</f>
        <v>0</v>
      </c>
      <c r="AH6" s="77">
        <f>(J6+L6)/16*S6</f>
        <v>0</v>
      </c>
      <c r="AI6" s="77">
        <f>(J6+L6)/16*AA6</f>
        <v>0</v>
      </c>
      <c r="AJ6" s="80">
        <f>(J6+L6)/16*AG6</f>
        <v>0</v>
      </c>
      <c r="AK6" s="79"/>
      <c r="AL6" s="178"/>
      <c r="AM6" s="79"/>
      <c r="AN6" s="178"/>
      <c r="AO6" s="79"/>
      <c r="AP6" s="178"/>
      <c r="AQ6" s="47">
        <f t="shared" ref="AQ6:AQ7" si="1">M6/18*S6+M6/18*AA6+M6/18*AG6</f>
        <v>0</v>
      </c>
      <c r="AR6" s="47">
        <f t="shared" ref="AR6" si="2">AH6+AI6+AJ6+AL6+AN6+AP6+AQ6</f>
        <v>0</v>
      </c>
      <c r="AS6" s="178"/>
      <c r="AT6" s="178"/>
      <c r="AU6" s="178"/>
      <c r="AV6" s="178">
        <f>J6*0.5</f>
        <v>55635</v>
      </c>
      <c r="AW6" s="77">
        <f>(AH6+AI6+AJ6+AV6)*75%</f>
        <v>41726.25</v>
      </c>
      <c r="AX6" s="178"/>
      <c r="AY6" s="77">
        <f>(AH6+AI6+AJ6+AV6+AW6)*10%</f>
        <v>9736.125</v>
      </c>
      <c r="AZ6" s="77">
        <f t="shared" ref="AZ6:AZ13" si="3">K6/16*S6+K6/16*AA6+K6/16*AG6</f>
        <v>0</v>
      </c>
      <c r="BA6" s="77">
        <f>AZ6*75%</f>
        <v>0</v>
      </c>
      <c r="BB6" s="22">
        <f t="shared" ref="BB6" si="4">AZ6+BA6</f>
        <v>0</v>
      </c>
      <c r="BC6" s="22"/>
      <c r="BD6" s="178"/>
      <c r="BE6" s="80">
        <f t="shared" ref="BE6:BE13" si="5">AR6+AS6+AT6+AU6+AV6+AX6+AY6+BD6+AZ6+BA6</f>
        <v>65371.125</v>
      </c>
      <c r="BF6" s="81">
        <f>AW6</f>
        <v>41726.25</v>
      </c>
      <c r="BG6" s="82">
        <f>BE6+BF6</f>
        <v>107097.375</v>
      </c>
    </row>
    <row r="7" spans="1:59" s="48" customFormat="1" x14ac:dyDescent="0.25">
      <c r="A7" s="172"/>
      <c r="B7" s="246" t="s">
        <v>145</v>
      </c>
      <c r="C7" s="246" t="s">
        <v>211</v>
      </c>
      <c r="D7" s="246" t="s">
        <v>65</v>
      </c>
      <c r="E7" s="246" t="s">
        <v>132</v>
      </c>
      <c r="F7" s="247">
        <v>10</v>
      </c>
      <c r="G7" s="248" t="s">
        <v>103</v>
      </c>
      <c r="H7" s="249">
        <v>2.2999999999999998</v>
      </c>
      <c r="I7" s="245">
        <v>85123</v>
      </c>
      <c r="J7" s="77">
        <f t="shared" si="0"/>
        <v>106403.75</v>
      </c>
      <c r="K7" s="22"/>
      <c r="L7" s="248"/>
      <c r="M7" s="248"/>
      <c r="N7" s="250"/>
      <c r="O7" s="250"/>
      <c r="P7" s="250"/>
      <c r="Q7" s="250"/>
      <c r="R7" s="251"/>
      <c r="S7" s="77">
        <f t="shared" ref="S7:S13" si="6">N7+O7+P7+Q7+R7</f>
        <v>0</v>
      </c>
      <c r="T7" s="250"/>
      <c r="U7" s="250"/>
      <c r="V7" s="250"/>
      <c r="W7" s="250"/>
      <c r="X7" s="250"/>
      <c r="Y7" s="251"/>
      <c r="Z7" s="251"/>
      <c r="AA7" s="79">
        <f t="shared" ref="AA7:AA13" si="7">T7+U7+V7+W7+X7+Y7+Z7</f>
        <v>0</v>
      </c>
      <c r="AB7" s="250"/>
      <c r="AC7" s="250"/>
      <c r="AD7" s="250"/>
      <c r="AE7" s="250"/>
      <c r="AF7" s="251"/>
      <c r="AG7" s="77">
        <f t="shared" ref="AG7:AG13" si="8">AB7+AD7+AE7+AF7+AC7</f>
        <v>0</v>
      </c>
      <c r="AH7" s="77">
        <f t="shared" ref="AH7:AH13" si="9">(J7+L7)/16*S7</f>
        <v>0</v>
      </c>
      <c r="AI7" s="77">
        <f t="shared" ref="AI7:AI13" si="10">(J7+L7)/16*AA7</f>
        <v>0</v>
      </c>
      <c r="AJ7" s="80">
        <f t="shared" ref="AJ7:AJ13" si="11">(J7+L7)/16*AG7</f>
        <v>0</v>
      </c>
      <c r="AK7" s="250"/>
      <c r="AL7" s="246"/>
      <c r="AM7" s="250"/>
      <c r="AN7" s="246"/>
      <c r="AO7" s="250"/>
      <c r="AP7" s="246"/>
      <c r="AQ7" s="47">
        <f t="shared" si="1"/>
        <v>0</v>
      </c>
      <c r="AR7" s="47">
        <f>AH7+AI7+AJ7+AL7+AN7+AP7+AQ7</f>
        <v>0</v>
      </c>
      <c r="AS7" s="246"/>
      <c r="AT7" s="246"/>
      <c r="AU7" s="246"/>
      <c r="AV7" s="178">
        <f>J7*0.5</f>
        <v>53201.875</v>
      </c>
      <c r="AW7" s="77">
        <f t="shared" ref="AW7:AW13" si="12">(AH7+AI7+AJ7+AV7)*75%</f>
        <v>39901.40625</v>
      </c>
      <c r="AX7" s="246"/>
      <c r="AY7" s="77">
        <f t="shared" ref="AY7:AY13" si="13">(AH7+AI7+AJ7+AV7+AW7)*10%</f>
        <v>9310.328125</v>
      </c>
      <c r="AZ7" s="77">
        <f t="shared" si="3"/>
        <v>0</v>
      </c>
      <c r="BA7" s="77">
        <f t="shared" ref="BA7:BA13" si="14">AZ7*75%</f>
        <v>0</v>
      </c>
      <c r="BB7" s="22">
        <f>AZ7+BA7</f>
        <v>0</v>
      </c>
      <c r="BC7" s="22"/>
      <c r="BD7" s="246">
        <v>3539</v>
      </c>
      <c r="BE7" s="80">
        <f t="shared" si="5"/>
        <v>66051.203125</v>
      </c>
      <c r="BF7" s="81">
        <f t="shared" ref="BF7:BF13" si="15">AW7</f>
        <v>39901.40625</v>
      </c>
      <c r="BG7" s="82">
        <f t="shared" ref="BG7:BG13" si="16">BE7+BF7</f>
        <v>105952.609375</v>
      </c>
    </row>
    <row r="8" spans="1:59" s="48" customFormat="1" x14ac:dyDescent="0.25">
      <c r="A8" s="42"/>
      <c r="B8" s="22" t="s">
        <v>212</v>
      </c>
      <c r="C8" s="22" t="s">
        <v>213</v>
      </c>
      <c r="D8" s="22" t="s">
        <v>69</v>
      </c>
      <c r="E8" s="45"/>
      <c r="F8" s="43">
        <v>14</v>
      </c>
      <c r="G8" s="22" t="s">
        <v>103</v>
      </c>
      <c r="H8" s="22">
        <v>2.4</v>
      </c>
      <c r="I8" s="22">
        <v>79460</v>
      </c>
      <c r="J8" s="77">
        <f t="shared" si="0"/>
        <v>99325</v>
      </c>
      <c r="K8" s="22"/>
      <c r="L8" s="22"/>
      <c r="M8" s="22"/>
      <c r="N8" s="22"/>
      <c r="O8" s="22"/>
      <c r="P8" s="22"/>
      <c r="Q8" s="22"/>
      <c r="R8" s="22"/>
      <c r="S8" s="77">
        <f t="shared" si="6"/>
        <v>0</v>
      </c>
      <c r="T8" s="46"/>
      <c r="U8" s="46"/>
      <c r="V8" s="46"/>
      <c r="W8" s="46"/>
      <c r="X8" s="46"/>
      <c r="Y8" s="46"/>
      <c r="Z8" s="46"/>
      <c r="AA8" s="79">
        <f t="shared" si="7"/>
        <v>0</v>
      </c>
      <c r="AB8" s="22"/>
      <c r="AC8" s="22"/>
      <c r="AD8" s="22"/>
      <c r="AE8" s="22"/>
      <c r="AF8" s="22"/>
      <c r="AG8" s="77">
        <f t="shared" si="8"/>
        <v>0</v>
      </c>
      <c r="AH8" s="77">
        <f t="shared" si="9"/>
        <v>0</v>
      </c>
      <c r="AI8" s="77">
        <f t="shared" si="10"/>
        <v>0</v>
      </c>
      <c r="AJ8" s="80">
        <f t="shared" si="11"/>
        <v>0</v>
      </c>
      <c r="AK8" s="22"/>
      <c r="AL8" s="22"/>
      <c r="AM8" s="22"/>
      <c r="AN8" s="22"/>
      <c r="AO8" s="22"/>
      <c r="AP8" s="22"/>
      <c r="AQ8" s="47">
        <f>M8/18*S8+M8/18*AA8+M8/18*AG8</f>
        <v>0</v>
      </c>
      <c r="AR8" s="47">
        <f t="shared" ref="AR8:AR13" si="17">AH8+AI8+AJ8+AL8+AN8+AP8+AQ8</f>
        <v>0</v>
      </c>
      <c r="AS8" s="22"/>
      <c r="AT8" s="22"/>
      <c r="AU8" s="22"/>
      <c r="AV8" s="22">
        <f>J8*0.5</f>
        <v>49662.5</v>
      </c>
      <c r="AW8" s="77">
        <f t="shared" si="12"/>
        <v>37246.875</v>
      </c>
      <c r="AX8" s="22"/>
      <c r="AY8" s="77">
        <f t="shared" si="13"/>
        <v>8690.9375</v>
      </c>
      <c r="AZ8" s="77">
        <f t="shared" si="3"/>
        <v>0</v>
      </c>
      <c r="BA8" s="77">
        <f t="shared" si="14"/>
        <v>0</v>
      </c>
      <c r="BB8" s="22">
        <f t="shared" ref="BB8:BB13" si="18">AZ8+BA8</f>
        <v>0</v>
      </c>
      <c r="BC8" s="22"/>
      <c r="BD8" s="22">
        <v>3539</v>
      </c>
      <c r="BE8" s="80">
        <f t="shared" si="5"/>
        <v>61892.4375</v>
      </c>
      <c r="BF8" s="81">
        <f t="shared" si="15"/>
        <v>37246.875</v>
      </c>
      <c r="BG8" s="82">
        <f t="shared" si="16"/>
        <v>99139.3125</v>
      </c>
    </row>
    <row r="9" spans="1:59" s="48" customFormat="1" x14ac:dyDescent="0.25">
      <c r="A9" s="42"/>
      <c r="B9" s="22" t="s">
        <v>212</v>
      </c>
      <c r="C9" s="22" t="s">
        <v>113</v>
      </c>
      <c r="D9" s="22" t="s">
        <v>101</v>
      </c>
      <c r="E9" s="45">
        <v>2</v>
      </c>
      <c r="F9" s="43">
        <v>14</v>
      </c>
      <c r="G9" s="22" t="s">
        <v>103</v>
      </c>
      <c r="H9" s="22">
        <v>2.2999999999999998</v>
      </c>
      <c r="I9" s="22">
        <v>86715</v>
      </c>
      <c r="J9" s="77">
        <f t="shared" si="0"/>
        <v>108393.75</v>
      </c>
      <c r="K9" s="22"/>
      <c r="L9" s="22"/>
      <c r="M9" s="22"/>
      <c r="N9" s="22"/>
      <c r="O9" s="22"/>
      <c r="P9" s="22"/>
      <c r="Q9" s="22"/>
      <c r="R9" s="22"/>
      <c r="S9" s="77">
        <f t="shared" si="6"/>
        <v>0</v>
      </c>
      <c r="T9" s="46"/>
      <c r="U9" s="46">
        <v>1</v>
      </c>
      <c r="V9" s="46">
        <v>1</v>
      </c>
      <c r="W9" s="46">
        <v>1</v>
      </c>
      <c r="X9" s="46">
        <v>1</v>
      </c>
      <c r="Y9" s="46"/>
      <c r="Z9" s="46"/>
      <c r="AA9" s="79">
        <f t="shared" si="7"/>
        <v>4</v>
      </c>
      <c r="AB9" s="22"/>
      <c r="AC9" s="22"/>
      <c r="AD9" s="22">
        <v>1</v>
      </c>
      <c r="AE9" s="22"/>
      <c r="AF9" s="22"/>
      <c r="AG9" s="77">
        <f t="shared" si="8"/>
        <v>1</v>
      </c>
      <c r="AH9" s="77">
        <f t="shared" si="9"/>
        <v>0</v>
      </c>
      <c r="AI9" s="77">
        <f t="shared" si="10"/>
        <v>27098.4375</v>
      </c>
      <c r="AJ9" s="80">
        <f t="shared" si="11"/>
        <v>6774.609375</v>
      </c>
      <c r="AK9" s="22"/>
      <c r="AL9" s="22"/>
      <c r="AM9" s="22"/>
      <c r="AN9" s="22"/>
      <c r="AO9" s="22"/>
      <c r="AP9" s="22"/>
      <c r="AQ9" s="47">
        <f t="shared" ref="AQ9:AQ13" si="19">M9/18*S9+M9/18*AA9+M9/18*AG9</f>
        <v>0</v>
      </c>
      <c r="AR9" s="47">
        <f t="shared" si="17"/>
        <v>33873.046875</v>
      </c>
      <c r="AS9" s="22"/>
      <c r="AT9" s="22"/>
      <c r="AU9" s="22"/>
      <c r="AV9" s="22"/>
      <c r="AW9" s="77">
        <f t="shared" si="12"/>
        <v>25404.78515625</v>
      </c>
      <c r="AX9" s="22"/>
      <c r="AY9" s="77">
        <f t="shared" si="13"/>
        <v>5927.783203125</v>
      </c>
      <c r="AZ9" s="77">
        <f t="shared" si="3"/>
        <v>0</v>
      </c>
      <c r="BA9" s="77">
        <f t="shared" si="14"/>
        <v>0</v>
      </c>
      <c r="BB9" s="22">
        <f t="shared" si="18"/>
        <v>0</v>
      </c>
      <c r="BC9" s="22"/>
      <c r="BD9" s="22">
        <v>442</v>
      </c>
      <c r="BE9" s="80">
        <f t="shared" si="5"/>
        <v>40242.830078125</v>
      </c>
      <c r="BF9" s="81">
        <f t="shared" si="15"/>
        <v>25404.78515625</v>
      </c>
      <c r="BG9" s="82">
        <f t="shared" si="16"/>
        <v>65647.615234375</v>
      </c>
    </row>
    <row r="10" spans="1:59" s="48" customFormat="1" x14ac:dyDescent="0.25">
      <c r="A10" s="42"/>
      <c r="B10" s="22" t="s">
        <v>212</v>
      </c>
      <c r="C10" s="49" t="s">
        <v>83</v>
      </c>
      <c r="D10" s="22" t="s">
        <v>65</v>
      </c>
      <c r="E10" s="45"/>
      <c r="F10" s="43">
        <v>14</v>
      </c>
      <c r="G10" s="22" t="s">
        <v>103</v>
      </c>
      <c r="H10" s="22">
        <v>3.4</v>
      </c>
      <c r="I10" s="22">
        <v>70788</v>
      </c>
      <c r="J10" s="77">
        <f t="shared" si="0"/>
        <v>88485</v>
      </c>
      <c r="K10" s="22"/>
      <c r="L10" s="22"/>
      <c r="M10" s="22"/>
      <c r="N10" s="22"/>
      <c r="O10" s="22"/>
      <c r="P10" s="22"/>
      <c r="Q10" s="22"/>
      <c r="R10" s="22"/>
      <c r="S10" s="77">
        <f t="shared" si="6"/>
        <v>0</v>
      </c>
      <c r="T10" s="46"/>
      <c r="U10" s="46"/>
      <c r="V10" s="46"/>
      <c r="W10" s="46"/>
      <c r="X10" s="46"/>
      <c r="Y10" s="46"/>
      <c r="Z10" s="46"/>
      <c r="AA10" s="79">
        <f t="shared" si="7"/>
        <v>0</v>
      </c>
      <c r="AB10" s="22"/>
      <c r="AC10" s="22"/>
      <c r="AD10" s="22"/>
      <c r="AE10" s="22"/>
      <c r="AF10" s="22"/>
      <c r="AG10" s="77">
        <f t="shared" si="8"/>
        <v>0</v>
      </c>
      <c r="AH10" s="77">
        <f t="shared" si="9"/>
        <v>0</v>
      </c>
      <c r="AI10" s="77">
        <f t="shared" si="10"/>
        <v>0</v>
      </c>
      <c r="AJ10" s="80">
        <f t="shared" si="11"/>
        <v>0</v>
      </c>
      <c r="AK10" s="22"/>
      <c r="AL10" s="22"/>
      <c r="AM10" s="22"/>
      <c r="AN10" s="22"/>
      <c r="AO10" s="22"/>
      <c r="AP10" s="22"/>
      <c r="AQ10" s="47">
        <f t="shared" si="19"/>
        <v>0</v>
      </c>
      <c r="AR10" s="47">
        <f t="shared" si="17"/>
        <v>0</v>
      </c>
      <c r="AS10" s="22"/>
      <c r="AT10" s="22"/>
      <c r="AU10" s="22"/>
      <c r="AV10" s="22">
        <f>J10*0.5</f>
        <v>44242.5</v>
      </c>
      <c r="AW10" s="77">
        <f t="shared" si="12"/>
        <v>33181.875</v>
      </c>
      <c r="AX10" s="22"/>
      <c r="AY10" s="77">
        <f t="shared" si="13"/>
        <v>7742.4375</v>
      </c>
      <c r="AZ10" s="77">
        <f t="shared" si="3"/>
        <v>0</v>
      </c>
      <c r="BA10" s="77">
        <f t="shared" si="14"/>
        <v>0</v>
      </c>
      <c r="BB10" s="22">
        <f t="shared" si="18"/>
        <v>0</v>
      </c>
      <c r="BC10" s="22"/>
      <c r="BD10" s="22"/>
      <c r="BE10" s="80">
        <f t="shared" si="5"/>
        <v>51984.9375</v>
      </c>
      <c r="BF10" s="81">
        <f t="shared" si="15"/>
        <v>33181.875</v>
      </c>
      <c r="BG10" s="82">
        <f t="shared" si="16"/>
        <v>85166.8125</v>
      </c>
    </row>
    <row r="11" spans="1:59" s="48" customFormat="1" x14ac:dyDescent="0.25">
      <c r="A11" s="42"/>
      <c r="B11" s="22" t="s">
        <v>185</v>
      </c>
      <c r="C11" s="22" t="s">
        <v>188</v>
      </c>
      <c r="D11" s="22" t="s">
        <v>109</v>
      </c>
      <c r="E11" s="45"/>
      <c r="F11" s="43">
        <v>0</v>
      </c>
      <c r="G11" s="22" t="s">
        <v>103</v>
      </c>
      <c r="H11" s="22">
        <v>4.4000000000000004</v>
      </c>
      <c r="I11" s="22">
        <v>58754</v>
      </c>
      <c r="J11" s="77">
        <f t="shared" si="0"/>
        <v>73442.5</v>
      </c>
      <c r="K11" s="22">
        <f t="shared" ref="K11" si="20">J11*30%</f>
        <v>22032.75</v>
      </c>
      <c r="L11" s="22"/>
      <c r="M11" s="22"/>
      <c r="N11" s="22"/>
      <c r="O11" s="22"/>
      <c r="P11" s="22"/>
      <c r="Q11" s="22"/>
      <c r="R11" s="22"/>
      <c r="S11" s="77">
        <f t="shared" si="6"/>
        <v>0</v>
      </c>
      <c r="T11" s="46">
        <v>1</v>
      </c>
      <c r="U11" s="46">
        <v>1</v>
      </c>
      <c r="V11" s="46">
        <v>1</v>
      </c>
      <c r="W11" s="46">
        <v>1</v>
      </c>
      <c r="X11" s="46">
        <v>1</v>
      </c>
      <c r="Y11" s="46"/>
      <c r="Z11" s="46">
        <v>2</v>
      </c>
      <c r="AA11" s="79">
        <f t="shared" si="7"/>
        <v>7</v>
      </c>
      <c r="AB11" s="22"/>
      <c r="AC11" s="22"/>
      <c r="AD11" s="22">
        <v>1</v>
      </c>
      <c r="AE11" s="22"/>
      <c r="AF11" s="22"/>
      <c r="AG11" s="77">
        <f t="shared" si="8"/>
        <v>1</v>
      </c>
      <c r="AH11" s="77">
        <f t="shared" si="9"/>
        <v>0</v>
      </c>
      <c r="AI11" s="77">
        <f t="shared" si="10"/>
        <v>32131.09375</v>
      </c>
      <c r="AJ11" s="80">
        <f t="shared" si="11"/>
        <v>4590.15625</v>
      </c>
      <c r="AK11" s="22"/>
      <c r="AL11" s="22"/>
      <c r="AM11" s="22"/>
      <c r="AN11" s="22"/>
      <c r="AO11" s="22"/>
      <c r="AP11" s="22"/>
      <c r="AQ11" s="47">
        <f t="shared" si="19"/>
        <v>0</v>
      </c>
      <c r="AR11" s="47">
        <f t="shared" si="17"/>
        <v>36721.25</v>
      </c>
      <c r="AS11" s="22"/>
      <c r="AT11" s="22"/>
      <c r="AU11" s="22"/>
      <c r="AV11" s="22"/>
      <c r="AW11" s="77">
        <f t="shared" si="12"/>
        <v>27540.9375</v>
      </c>
      <c r="AX11" s="22"/>
      <c r="AY11" s="77">
        <f t="shared" si="13"/>
        <v>6426.21875</v>
      </c>
      <c r="AZ11" s="77">
        <f t="shared" si="3"/>
        <v>11016.375</v>
      </c>
      <c r="BA11" s="77">
        <f t="shared" si="14"/>
        <v>8262.28125</v>
      </c>
      <c r="BB11" s="22">
        <f t="shared" si="18"/>
        <v>19278.65625</v>
      </c>
      <c r="BC11" s="22"/>
      <c r="BD11" s="22">
        <v>442</v>
      </c>
      <c r="BE11" s="80">
        <f t="shared" si="5"/>
        <v>62868.125</v>
      </c>
      <c r="BF11" s="81">
        <f t="shared" si="15"/>
        <v>27540.9375</v>
      </c>
      <c r="BG11" s="82">
        <f t="shared" si="16"/>
        <v>90409.0625</v>
      </c>
    </row>
    <row r="12" spans="1:59" s="48" customFormat="1" x14ac:dyDescent="0.25">
      <c r="A12" s="42"/>
      <c r="B12" s="22" t="s">
        <v>210</v>
      </c>
      <c r="C12" s="22" t="s">
        <v>115</v>
      </c>
      <c r="D12" s="22" t="s">
        <v>125</v>
      </c>
      <c r="E12" s="45"/>
      <c r="F12" s="43">
        <v>6</v>
      </c>
      <c r="G12" s="22" t="s">
        <v>103</v>
      </c>
      <c r="H12" s="22">
        <v>4.4000000000000004</v>
      </c>
      <c r="I12" s="22">
        <v>61753</v>
      </c>
      <c r="J12" s="77">
        <f t="shared" si="0"/>
        <v>77191.25</v>
      </c>
      <c r="K12" s="22"/>
      <c r="L12" s="22"/>
      <c r="M12" s="22"/>
      <c r="N12" s="22"/>
      <c r="O12" s="22"/>
      <c r="P12" s="22"/>
      <c r="Q12" s="22"/>
      <c r="R12" s="22"/>
      <c r="S12" s="77">
        <f t="shared" si="6"/>
        <v>0</v>
      </c>
      <c r="T12" s="46"/>
      <c r="U12" s="46"/>
      <c r="V12" s="46"/>
      <c r="W12" s="46"/>
      <c r="X12" s="46"/>
      <c r="Y12" s="46"/>
      <c r="Z12" s="46"/>
      <c r="AA12" s="79">
        <f t="shared" si="7"/>
        <v>0</v>
      </c>
      <c r="AB12" s="22"/>
      <c r="AC12" s="22"/>
      <c r="AD12" s="22"/>
      <c r="AE12" s="22"/>
      <c r="AF12" s="22"/>
      <c r="AG12" s="77">
        <f t="shared" si="8"/>
        <v>0</v>
      </c>
      <c r="AH12" s="77">
        <f t="shared" si="9"/>
        <v>0</v>
      </c>
      <c r="AI12" s="77">
        <f t="shared" si="10"/>
        <v>0</v>
      </c>
      <c r="AJ12" s="80">
        <f t="shared" si="11"/>
        <v>0</v>
      </c>
      <c r="AK12" s="22"/>
      <c r="AL12" s="22"/>
      <c r="AM12" s="22"/>
      <c r="AN12" s="22"/>
      <c r="AO12" s="22"/>
      <c r="AP12" s="22"/>
      <c r="AQ12" s="47">
        <f t="shared" si="19"/>
        <v>0</v>
      </c>
      <c r="AR12" s="47">
        <f t="shared" si="17"/>
        <v>0</v>
      </c>
      <c r="AS12" s="22"/>
      <c r="AT12" s="22"/>
      <c r="AU12" s="22"/>
      <c r="AV12" s="22">
        <f>J12</f>
        <v>77191.25</v>
      </c>
      <c r="AW12" s="77">
        <f t="shared" si="12"/>
        <v>57893.4375</v>
      </c>
      <c r="AX12" s="22"/>
      <c r="AY12" s="77">
        <f t="shared" si="13"/>
        <v>13508.46875</v>
      </c>
      <c r="AZ12" s="77">
        <f t="shared" si="3"/>
        <v>0</v>
      </c>
      <c r="BA12" s="77">
        <f t="shared" si="14"/>
        <v>0</v>
      </c>
      <c r="BB12" s="22">
        <f t="shared" si="18"/>
        <v>0</v>
      </c>
      <c r="BC12" s="22"/>
      <c r="BD12" s="22"/>
      <c r="BE12" s="80">
        <f t="shared" si="5"/>
        <v>90699.71875</v>
      </c>
      <c r="BF12" s="81">
        <f t="shared" si="15"/>
        <v>57893.4375</v>
      </c>
      <c r="BG12" s="82">
        <f t="shared" si="16"/>
        <v>148593.15625</v>
      </c>
    </row>
    <row r="13" spans="1:59" s="48" customFormat="1" x14ac:dyDescent="0.25">
      <c r="A13" s="172"/>
      <c r="B13" s="178" t="s">
        <v>84</v>
      </c>
      <c r="C13" s="178" t="s">
        <v>113</v>
      </c>
      <c r="D13" s="178" t="s">
        <v>65</v>
      </c>
      <c r="E13" s="178"/>
      <c r="F13" s="244">
        <v>10</v>
      </c>
      <c r="G13" s="22" t="s">
        <v>103</v>
      </c>
      <c r="H13" s="245">
        <v>2.4</v>
      </c>
      <c r="I13" s="245">
        <v>77513</v>
      </c>
      <c r="J13" s="77">
        <f t="shared" si="0"/>
        <v>96891.25</v>
      </c>
      <c r="K13" s="77">
        <f>J13*30%</f>
        <v>29067.375</v>
      </c>
      <c r="L13" s="245"/>
      <c r="M13" s="245"/>
      <c r="N13" s="79"/>
      <c r="O13" s="79"/>
      <c r="P13" s="79"/>
      <c r="Q13" s="79"/>
      <c r="R13" s="176"/>
      <c r="S13" s="77">
        <f t="shared" si="6"/>
        <v>0</v>
      </c>
      <c r="T13" s="79">
        <v>1</v>
      </c>
      <c r="U13" s="79"/>
      <c r="V13" s="79"/>
      <c r="W13" s="79"/>
      <c r="X13" s="79"/>
      <c r="Y13" s="176"/>
      <c r="Z13" s="176"/>
      <c r="AA13" s="79">
        <f t="shared" si="7"/>
        <v>1</v>
      </c>
      <c r="AB13" s="79"/>
      <c r="AC13" s="79"/>
      <c r="AD13" s="79"/>
      <c r="AE13" s="79"/>
      <c r="AF13" s="176"/>
      <c r="AG13" s="77">
        <f t="shared" si="8"/>
        <v>0</v>
      </c>
      <c r="AH13" s="77">
        <f t="shared" si="9"/>
        <v>0</v>
      </c>
      <c r="AI13" s="77">
        <f t="shared" si="10"/>
        <v>6055.703125</v>
      </c>
      <c r="AJ13" s="80">
        <f t="shared" si="11"/>
        <v>0</v>
      </c>
      <c r="AK13" s="79"/>
      <c r="AL13" s="178"/>
      <c r="AM13" s="79"/>
      <c r="AN13" s="178"/>
      <c r="AO13" s="79"/>
      <c r="AP13" s="178"/>
      <c r="AQ13" s="47">
        <f t="shared" si="19"/>
        <v>0</v>
      </c>
      <c r="AR13" s="47">
        <f t="shared" si="17"/>
        <v>6055.703125</v>
      </c>
      <c r="AS13" s="178"/>
      <c r="AT13" s="178"/>
      <c r="AU13" s="178"/>
      <c r="AV13" s="178"/>
      <c r="AW13" s="77">
        <f t="shared" si="12"/>
        <v>4541.77734375</v>
      </c>
      <c r="AX13" s="178"/>
      <c r="AY13" s="77">
        <f t="shared" si="13"/>
        <v>1059.748046875</v>
      </c>
      <c r="AZ13" s="77">
        <f t="shared" si="3"/>
        <v>1816.7109375</v>
      </c>
      <c r="BA13" s="77">
        <f t="shared" si="14"/>
        <v>1362.533203125</v>
      </c>
      <c r="BB13" s="22">
        <f t="shared" si="18"/>
        <v>3179.244140625</v>
      </c>
      <c r="BC13" s="22"/>
      <c r="BD13" s="178"/>
      <c r="BE13" s="80">
        <f t="shared" si="5"/>
        <v>10294.6953125</v>
      </c>
      <c r="BF13" s="81">
        <f t="shared" si="15"/>
        <v>4541.77734375</v>
      </c>
      <c r="BG13" s="82">
        <f t="shared" si="16"/>
        <v>14836.47265625</v>
      </c>
    </row>
    <row r="14" spans="1:59" x14ac:dyDescent="0.25">
      <c r="A14" s="85"/>
      <c r="B14" s="26" t="s">
        <v>119</v>
      </c>
      <c r="C14" s="60"/>
      <c r="D14" s="60"/>
      <c r="E14" s="86"/>
      <c r="F14" s="87"/>
      <c r="G14" s="60"/>
      <c r="H14" s="60"/>
      <c r="I14" s="60"/>
      <c r="J14" s="60">
        <f t="shared" si="0"/>
        <v>0</v>
      </c>
      <c r="K14" s="60"/>
      <c r="L14" s="60"/>
      <c r="M14" s="60"/>
      <c r="N14" s="60">
        <f t="shared" ref="N14:BB14" si="21">SUM(N6:N13)</f>
        <v>0</v>
      </c>
      <c r="O14" s="60">
        <f t="shared" si="21"/>
        <v>0</v>
      </c>
      <c r="P14" s="60">
        <f t="shared" si="21"/>
        <v>0</v>
      </c>
      <c r="Q14" s="60">
        <f t="shared" si="21"/>
        <v>0</v>
      </c>
      <c r="R14" s="60">
        <f t="shared" si="21"/>
        <v>0</v>
      </c>
      <c r="S14" s="60">
        <f t="shared" si="21"/>
        <v>0</v>
      </c>
      <c r="T14" s="60">
        <f t="shared" si="21"/>
        <v>2</v>
      </c>
      <c r="U14" s="60">
        <f t="shared" si="21"/>
        <v>2</v>
      </c>
      <c r="V14" s="60">
        <f t="shared" si="21"/>
        <v>2</v>
      </c>
      <c r="W14" s="60">
        <f t="shared" si="21"/>
        <v>2</v>
      </c>
      <c r="X14" s="60">
        <f t="shared" si="21"/>
        <v>2</v>
      </c>
      <c r="Y14" s="60">
        <f t="shared" si="21"/>
        <v>0</v>
      </c>
      <c r="Z14" s="60">
        <f t="shared" si="21"/>
        <v>2</v>
      </c>
      <c r="AA14" s="60">
        <f t="shared" si="21"/>
        <v>12</v>
      </c>
      <c r="AB14" s="60">
        <f t="shared" si="21"/>
        <v>0</v>
      </c>
      <c r="AC14" s="60">
        <f t="shared" si="21"/>
        <v>0</v>
      </c>
      <c r="AD14" s="60">
        <f t="shared" si="21"/>
        <v>2</v>
      </c>
      <c r="AE14" s="60">
        <f t="shared" si="21"/>
        <v>0</v>
      </c>
      <c r="AF14" s="60">
        <f t="shared" si="21"/>
        <v>0</v>
      </c>
      <c r="AG14" s="60">
        <f t="shared" si="21"/>
        <v>2</v>
      </c>
      <c r="AH14" s="60">
        <f t="shared" si="21"/>
        <v>0</v>
      </c>
      <c r="AI14" s="60">
        <f t="shared" si="21"/>
        <v>65285.234375</v>
      </c>
      <c r="AJ14" s="60">
        <f t="shared" si="21"/>
        <v>11364.765625</v>
      </c>
      <c r="AK14" s="60">
        <f t="shared" si="21"/>
        <v>0</v>
      </c>
      <c r="AL14" s="60">
        <f t="shared" si="21"/>
        <v>0</v>
      </c>
      <c r="AM14" s="60">
        <f t="shared" si="21"/>
        <v>0</v>
      </c>
      <c r="AN14" s="60">
        <f t="shared" si="21"/>
        <v>0</v>
      </c>
      <c r="AO14" s="60">
        <f t="shared" si="21"/>
        <v>0</v>
      </c>
      <c r="AP14" s="60">
        <f t="shared" si="21"/>
        <v>0</v>
      </c>
      <c r="AQ14" s="60">
        <f t="shared" si="21"/>
        <v>0</v>
      </c>
      <c r="AR14" s="60">
        <f t="shared" si="21"/>
        <v>76650</v>
      </c>
      <c r="AS14" s="60">
        <f t="shared" si="21"/>
        <v>0</v>
      </c>
      <c r="AT14" s="60">
        <f t="shared" si="21"/>
        <v>0</v>
      </c>
      <c r="AU14" s="60">
        <f t="shared" si="21"/>
        <v>0</v>
      </c>
      <c r="AV14" s="60">
        <f t="shared" si="21"/>
        <v>279933.125</v>
      </c>
      <c r="AW14" s="60">
        <f t="shared" si="21"/>
        <v>267437.34375</v>
      </c>
      <c r="AX14" s="60">
        <f t="shared" si="21"/>
        <v>0</v>
      </c>
      <c r="AY14" s="60">
        <f t="shared" si="21"/>
        <v>62402.046875</v>
      </c>
      <c r="AZ14" s="60">
        <f t="shared" si="21"/>
        <v>12833.0859375</v>
      </c>
      <c r="BA14" s="60">
        <f t="shared" si="21"/>
        <v>9624.814453125</v>
      </c>
      <c r="BB14" s="60">
        <f t="shared" si="21"/>
        <v>22457.900390625</v>
      </c>
      <c r="BC14" s="60"/>
      <c r="BD14" s="60">
        <f>SUM(BD6:BD13)</f>
        <v>7962</v>
      </c>
      <c r="BE14" s="216">
        <f>SUM(BE6:BE13)</f>
        <v>449405.072265625</v>
      </c>
      <c r="BF14" s="60">
        <f>SUM(BF6:BF13)</f>
        <v>267437.34375</v>
      </c>
      <c r="BG14" s="60">
        <f>BE14+BF14</f>
        <v>716842.416015625</v>
      </c>
    </row>
    <row r="15" spans="1:59" x14ac:dyDescent="0.25">
      <c r="A15" s="61"/>
      <c r="B15" s="39"/>
      <c r="C15" s="62"/>
      <c r="D15" s="39"/>
      <c r="E15" s="6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4"/>
      <c r="BG15" s="65"/>
    </row>
    <row r="16" spans="1:59" x14ac:dyDescent="0.25">
      <c r="B16" t="s">
        <v>214</v>
      </c>
      <c r="C16" s="13"/>
      <c r="D16" s="163" t="s">
        <v>215</v>
      </c>
      <c r="E16" s="36"/>
      <c r="BF16" s="16"/>
      <c r="BG16" s="59"/>
    </row>
    <row r="17" spans="2:59" x14ac:dyDescent="0.25">
      <c r="D17" s="36"/>
      <c r="E17" s="36"/>
      <c r="BF17" s="16"/>
      <c r="BG17" s="59"/>
    </row>
    <row r="18" spans="2:59" x14ac:dyDescent="0.25">
      <c r="B18" t="s">
        <v>116</v>
      </c>
      <c r="D18" s="36" t="s">
        <v>128</v>
      </c>
      <c r="E18" s="36"/>
      <c r="F18" s="13"/>
      <c r="BF18" s="16"/>
      <c r="BG18" s="59"/>
    </row>
    <row r="19" spans="2:59" x14ac:dyDescent="0.25">
      <c r="D19" s="36"/>
      <c r="E19" s="36"/>
      <c r="F19" s="13"/>
      <c r="BF19" s="16"/>
      <c r="BG19" s="59"/>
    </row>
    <row r="20" spans="2:59" x14ac:dyDescent="0.25">
      <c r="B20" t="s">
        <v>205</v>
      </c>
      <c r="D20" s="180" t="s">
        <v>86</v>
      </c>
      <c r="E20" s="36"/>
      <c r="F20" s="13"/>
      <c r="BG20" s="57"/>
    </row>
    <row r="21" spans="2:59" x14ac:dyDescent="0.25">
      <c r="E21" s="36"/>
      <c r="F21" s="13"/>
      <c r="BG21" s="57"/>
    </row>
  </sheetData>
  <mergeCells count="38">
    <mergeCell ref="N2:AG2"/>
    <mergeCell ref="A2:A4"/>
    <mergeCell ref="B2:B4"/>
    <mergeCell ref="C2:C4"/>
    <mergeCell ref="D2:D4"/>
    <mergeCell ref="F2:F4"/>
    <mergeCell ref="G2:G4"/>
    <mergeCell ref="I2:I4"/>
    <mergeCell ref="J2:J4"/>
    <mergeCell ref="K2:K4"/>
    <mergeCell ref="L2:L4"/>
    <mergeCell ref="M2:M4"/>
    <mergeCell ref="BB2:BB4"/>
    <mergeCell ref="AH2:AJ2"/>
    <mergeCell ref="AK2:AP2"/>
    <mergeCell ref="AQ2:AQ4"/>
    <mergeCell ref="AR2:AR4"/>
    <mergeCell ref="AS2:AU2"/>
    <mergeCell ref="AV2:AV4"/>
    <mergeCell ref="AO3:AP3"/>
    <mergeCell ref="AS3:AS4"/>
    <mergeCell ref="AT3:AT4"/>
    <mergeCell ref="AU3:AU4"/>
    <mergeCell ref="AW2:AW4"/>
    <mergeCell ref="AX2:AX4"/>
    <mergeCell ref="AY2:AY4"/>
    <mergeCell ref="AZ2:AZ4"/>
    <mergeCell ref="BA2:BA4"/>
    <mergeCell ref="N3:S3"/>
    <mergeCell ref="T3:AA3"/>
    <mergeCell ref="AB3:AG3"/>
    <mergeCell ref="AK3:AL3"/>
    <mergeCell ref="AM3:AN3"/>
    <mergeCell ref="BC2:BC4"/>
    <mergeCell ref="BD2:BD4"/>
    <mergeCell ref="BE2:BE4"/>
    <mergeCell ref="BF2:BF4"/>
    <mergeCell ref="BG2:BG4"/>
  </mergeCells>
  <pageMargins left="0" right="0" top="0.74803149606299213" bottom="0.74803149606299213" header="0.31496062992125984" footer="0.31496062992125984"/>
  <pageSetup paperSize="9" scale="75" orientation="landscape" verticalDpi="0" copies="1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8"/>
  <sheetViews>
    <sheetView workbookViewId="0">
      <selection activeCell="B6" sqref="B6:I6"/>
    </sheetView>
  </sheetViews>
  <sheetFormatPr defaultRowHeight="15" x14ac:dyDescent="0.25"/>
  <cols>
    <col min="1" max="1" width="3.85546875" customWidth="1"/>
    <col min="2" max="2" width="19.7109375" customWidth="1"/>
    <col min="3" max="3" width="22" customWidth="1"/>
    <col min="4" max="4" width="14.140625" customWidth="1"/>
    <col min="5" max="5" width="8.5703125" customWidth="1"/>
    <col min="6" max="6" width="5.42578125" customWidth="1"/>
    <col min="7" max="7" width="4.5703125" customWidth="1"/>
    <col min="8" max="8" width="6" customWidth="1"/>
    <col min="9" max="9" width="7.7109375" customWidth="1"/>
    <col min="10" max="10" width="7.85546875" customWidth="1"/>
    <col min="11" max="11" width="7.5703125" customWidth="1"/>
    <col min="12" max="12" width="6.28515625" customWidth="1"/>
    <col min="13" max="13" width="7.7109375" customWidth="1"/>
    <col min="14" max="14" width="5.28515625" customWidth="1"/>
    <col min="15" max="15" width="4.7109375" customWidth="1"/>
    <col min="16" max="16" width="7.140625" customWidth="1"/>
    <col min="17" max="17" width="5.140625" customWidth="1"/>
    <col min="18" max="18" width="4.28515625" customWidth="1"/>
    <col min="19" max="19" width="6.42578125" customWidth="1"/>
    <col min="20" max="20" width="4.85546875" customWidth="1"/>
    <col min="21" max="21" width="6.28515625" customWidth="1"/>
    <col min="22" max="22" width="4.85546875" customWidth="1"/>
    <col min="23" max="23" width="4.5703125" customWidth="1"/>
    <col min="24" max="24" width="5" customWidth="1"/>
    <col min="25" max="25" width="5.28515625" customWidth="1"/>
    <col min="26" max="26" width="5" customWidth="1"/>
    <col min="27" max="27" width="6.140625" customWidth="1"/>
    <col min="28" max="28" width="5.28515625" customWidth="1"/>
    <col min="29" max="29" width="3.85546875" customWidth="1"/>
    <col min="30" max="30" width="7.28515625" customWidth="1"/>
    <col min="31" max="31" width="4.28515625" customWidth="1"/>
    <col min="32" max="32" width="4.140625" customWidth="1"/>
    <col min="33" max="33" width="5.28515625" customWidth="1"/>
    <col min="34" max="34" width="8.5703125" customWidth="1"/>
    <col min="35" max="35" width="8.28515625" customWidth="1"/>
    <col min="37" max="37" width="4.85546875" customWidth="1"/>
    <col min="38" max="38" width="7.140625" customWidth="1"/>
    <col min="39" max="40" width="6.5703125" customWidth="1"/>
    <col min="41" max="41" width="5.7109375" customWidth="1"/>
    <col min="42" max="42" width="5.85546875" customWidth="1"/>
    <col min="43" max="43" width="7.5703125" customWidth="1"/>
    <col min="44" max="44" width="9.7109375" customWidth="1"/>
    <col min="45" max="45" width="7.28515625" customWidth="1"/>
    <col min="46" max="46" width="3.85546875" customWidth="1"/>
    <col min="47" max="47" width="5.7109375" customWidth="1"/>
    <col min="48" max="49" width="8.28515625" customWidth="1"/>
    <col min="50" max="53" width="7.5703125" customWidth="1"/>
    <col min="54" max="55" width="9.140625" customWidth="1"/>
    <col min="56" max="56" width="10.140625" customWidth="1"/>
    <col min="57" max="57" width="11.28515625" customWidth="1"/>
    <col min="58" max="58" width="9.5703125" bestFit="1" customWidth="1"/>
    <col min="59" max="59" width="9.7109375" customWidth="1"/>
  </cols>
  <sheetData>
    <row r="1" spans="1:59" ht="35.25" customHeight="1" x14ac:dyDescent="0.25">
      <c r="B1" t="s">
        <v>208</v>
      </c>
    </row>
    <row r="2" spans="1:59" x14ac:dyDescent="0.25">
      <c r="A2" s="274" t="s">
        <v>39</v>
      </c>
      <c r="B2" s="261" t="s">
        <v>40</v>
      </c>
      <c r="C2" s="261" t="s">
        <v>41</v>
      </c>
      <c r="D2" s="261" t="s">
        <v>42</v>
      </c>
      <c r="E2" s="31"/>
      <c r="F2" s="261" t="s">
        <v>43</v>
      </c>
      <c r="G2" s="252" t="s">
        <v>99</v>
      </c>
      <c r="H2" s="237"/>
      <c r="I2" s="277" t="s">
        <v>44</v>
      </c>
      <c r="J2" s="261" t="s">
        <v>45</v>
      </c>
      <c r="K2" s="278" t="s">
        <v>142</v>
      </c>
      <c r="L2" s="270" t="s">
        <v>46</v>
      </c>
      <c r="M2" s="270" t="s">
        <v>47</v>
      </c>
      <c r="N2" s="269" t="s">
        <v>48</v>
      </c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 t="s">
        <v>49</v>
      </c>
      <c r="AI2" s="269"/>
      <c r="AJ2" s="269"/>
      <c r="AK2" s="269" t="s">
        <v>50</v>
      </c>
      <c r="AL2" s="269"/>
      <c r="AM2" s="269"/>
      <c r="AN2" s="269"/>
      <c r="AO2" s="269"/>
      <c r="AP2" s="269"/>
      <c r="AQ2" s="270" t="s">
        <v>47</v>
      </c>
      <c r="AR2" s="261" t="s">
        <v>51</v>
      </c>
      <c r="AS2" s="261" t="s">
        <v>52</v>
      </c>
      <c r="AT2" s="261"/>
      <c r="AU2" s="261"/>
      <c r="AV2" s="261" t="s">
        <v>53</v>
      </c>
      <c r="AW2" s="252" t="s">
        <v>199</v>
      </c>
      <c r="AX2" s="261" t="s">
        <v>96</v>
      </c>
      <c r="AY2" s="252" t="s">
        <v>138</v>
      </c>
      <c r="AZ2" s="262" t="s">
        <v>143</v>
      </c>
      <c r="BA2" s="262" t="s">
        <v>203</v>
      </c>
      <c r="BB2" s="262" t="s">
        <v>144</v>
      </c>
      <c r="BC2" s="266" t="s">
        <v>204</v>
      </c>
      <c r="BD2" s="265" t="s">
        <v>194</v>
      </c>
      <c r="BE2" s="265" t="s">
        <v>135</v>
      </c>
      <c r="BF2" s="255" t="s">
        <v>136</v>
      </c>
      <c r="BG2" s="258" t="s">
        <v>137</v>
      </c>
    </row>
    <row r="3" spans="1:59" x14ac:dyDescent="0.25">
      <c r="A3" s="275"/>
      <c r="B3" s="261"/>
      <c r="C3" s="261"/>
      <c r="D3" s="261"/>
      <c r="E3" s="31"/>
      <c r="F3" s="261"/>
      <c r="G3" s="253"/>
      <c r="H3" s="235"/>
      <c r="I3" s="253"/>
      <c r="J3" s="261"/>
      <c r="K3" s="279"/>
      <c r="L3" s="271"/>
      <c r="M3" s="271"/>
      <c r="N3" s="269" t="s">
        <v>55</v>
      </c>
      <c r="O3" s="269"/>
      <c r="P3" s="269"/>
      <c r="Q3" s="269"/>
      <c r="R3" s="269"/>
      <c r="S3" s="269"/>
      <c r="T3" s="269" t="s">
        <v>56</v>
      </c>
      <c r="U3" s="269"/>
      <c r="V3" s="269"/>
      <c r="W3" s="269"/>
      <c r="X3" s="269"/>
      <c r="Y3" s="269"/>
      <c r="Z3" s="269"/>
      <c r="AA3" s="269"/>
      <c r="AB3" s="269" t="s">
        <v>57</v>
      </c>
      <c r="AC3" s="269"/>
      <c r="AD3" s="269"/>
      <c r="AE3" s="269"/>
      <c r="AF3" s="269"/>
      <c r="AG3" s="269"/>
      <c r="AH3" s="234" t="s">
        <v>55</v>
      </c>
      <c r="AI3" s="234" t="s">
        <v>56</v>
      </c>
      <c r="AJ3" s="234" t="s">
        <v>57</v>
      </c>
      <c r="AK3" s="269" t="s">
        <v>55</v>
      </c>
      <c r="AL3" s="269"/>
      <c r="AM3" s="269" t="s">
        <v>56</v>
      </c>
      <c r="AN3" s="269"/>
      <c r="AO3" s="269" t="s">
        <v>57</v>
      </c>
      <c r="AP3" s="269"/>
      <c r="AQ3" s="271"/>
      <c r="AR3" s="261"/>
      <c r="AS3" s="261" t="s">
        <v>58</v>
      </c>
      <c r="AT3" s="261" t="s">
        <v>59</v>
      </c>
      <c r="AU3" s="261" t="s">
        <v>60</v>
      </c>
      <c r="AV3" s="261"/>
      <c r="AW3" s="253"/>
      <c r="AX3" s="261"/>
      <c r="AY3" s="253"/>
      <c r="AZ3" s="263"/>
      <c r="BA3" s="263"/>
      <c r="BB3" s="263"/>
      <c r="BC3" s="267"/>
      <c r="BD3" s="261"/>
      <c r="BE3" s="261"/>
      <c r="BF3" s="256"/>
      <c r="BG3" s="259"/>
    </row>
    <row r="4" spans="1:59" ht="60" x14ac:dyDescent="0.25">
      <c r="A4" s="276"/>
      <c r="B4" s="261"/>
      <c r="C4" s="261"/>
      <c r="D4" s="261"/>
      <c r="E4" s="32" t="s">
        <v>98</v>
      </c>
      <c r="F4" s="261"/>
      <c r="G4" s="254"/>
      <c r="H4" s="171"/>
      <c r="I4" s="254"/>
      <c r="J4" s="261"/>
      <c r="K4" s="280"/>
      <c r="L4" s="272"/>
      <c r="M4" s="272"/>
      <c r="N4" s="4" t="s">
        <v>181</v>
      </c>
      <c r="O4" s="6">
        <v>1</v>
      </c>
      <c r="P4" s="70" t="s">
        <v>182</v>
      </c>
      <c r="Q4" s="70" t="s">
        <v>183</v>
      </c>
      <c r="R4" s="66" t="s">
        <v>141</v>
      </c>
      <c r="S4" s="6" t="s">
        <v>6</v>
      </c>
      <c r="T4" s="4" t="s">
        <v>195</v>
      </c>
      <c r="U4" s="70" t="s">
        <v>184</v>
      </c>
      <c r="V4" s="6">
        <v>7</v>
      </c>
      <c r="W4" s="6">
        <v>8</v>
      </c>
      <c r="X4" s="6">
        <v>9</v>
      </c>
      <c r="Y4" s="66" t="s">
        <v>196</v>
      </c>
      <c r="Z4" s="66" t="s">
        <v>141</v>
      </c>
      <c r="AA4" s="6" t="s">
        <v>6</v>
      </c>
      <c r="AB4" s="6"/>
      <c r="AC4" s="6"/>
      <c r="AD4" s="6">
        <v>10</v>
      </c>
      <c r="AE4" s="6"/>
      <c r="AF4" s="66" t="s">
        <v>141</v>
      </c>
      <c r="AG4" s="6" t="s">
        <v>6</v>
      </c>
      <c r="AH4" s="6"/>
      <c r="AI4" s="6"/>
      <c r="AJ4" s="6"/>
      <c r="AK4" s="6" t="s">
        <v>61</v>
      </c>
      <c r="AL4" s="10" t="s">
        <v>62</v>
      </c>
      <c r="AM4" s="6" t="s">
        <v>61</v>
      </c>
      <c r="AN4" s="10" t="s">
        <v>62</v>
      </c>
      <c r="AO4" s="6" t="s">
        <v>61</v>
      </c>
      <c r="AP4" s="10" t="s">
        <v>62</v>
      </c>
      <c r="AQ4" s="272"/>
      <c r="AR4" s="261"/>
      <c r="AS4" s="261"/>
      <c r="AT4" s="261"/>
      <c r="AU4" s="261"/>
      <c r="AV4" s="261"/>
      <c r="AW4" s="254"/>
      <c r="AX4" s="261"/>
      <c r="AY4" s="254"/>
      <c r="AZ4" s="264"/>
      <c r="BA4" s="264"/>
      <c r="BB4" s="264"/>
      <c r="BC4" s="268"/>
      <c r="BD4" s="261"/>
      <c r="BE4" s="261"/>
      <c r="BF4" s="257"/>
      <c r="BG4" s="260"/>
    </row>
    <row r="5" spans="1:59" x14ac:dyDescent="0.25">
      <c r="A5" s="236"/>
      <c r="B5" s="306" t="s">
        <v>218</v>
      </c>
      <c r="C5" s="76"/>
      <c r="D5" s="76"/>
      <c r="E5" s="76"/>
      <c r="F5" s="183"/>
      <c r="G5" s="77"/>
      <c r="H5" s="45"/>
      <c r="I5" s="184"/>
      <c r="J5" s="77"/>
      <c r="K5" s="22"/>
      <c r="L5" s="184"/>
      <c r="M5" s="184"/>
      <c r="N5" s="78"/>
      <c r="O5" s="78"/>
      <c r="P5" s="78"/>
      <c r="Q5" s="78"/>
      <c r="R5" s="66"/>
      <c r="S5" s="77"/>
      <c r="T5" s="78"/>
      <c r="U5" s="78"/>
      <c r="V5" s="78"/>
      <c r="W5" s="78"/>
      <c r="X5" s="78"/>
      <c r="Y5" s="66"/>
      <c r="Z5" s="66"/>
      <c r="AA5" s="79"/>
      <c r="AB5" s="78"/>
      <c r="AC5" s="78"/>
      <c r="AD5" s="78"/>
      <c r="AE5" s="78"/>
      <c r="AF5" s="66"/>
      <c r="AG5" s="77"/>
      <c r="AH5" s="77"/>
      <c r="AI5" s="77"/>
      <c r="AJ5" s="80"/>
      <c r="AK5" s="78"/>
      <c r="AL5" s="76"/>
      <c r="AM5" s="78"/>
      <c r="AN5" s="76"/>
      <c r="AO5" s="78"/>
      <c r="AP5" s="76"/>
      <c r="AQ5" s="47"/>
      <c r="AR5" s="47"/>
      <c r="AS5" s="76"/>
      <c r="AT5" s="76"/>
      <c r="AU5" s="76"/>
      <c r="AV5" s="76"/>
      <c r="AW5" s="77"/>
      <c r="AX5" s="76"/>
      <c r="AY5" s="77"/>
      <c r="AZ5" s="181"/>
      <c r="BA5" s="181"/>
      <c r="BB5" s="182"/>
      <c r="BC5" s="22"/>
      <c r="BD5" s="76"/>
      <c r="BE5" s="80"/>
      <c r="BF5" s="81"/>
      <c r="BG5" s="82"/>
    </row>
    <row r="6" spans="1:59" s="48" customFormat="1" x14ac:dyDescent="0.25">
      <c r="A6" s="42"/>
      <c r="B6" s="22" t="s">
        <v>216</v>
      </c>
      <c r="C6" s="22" t="s">
        <v>217</v>
      </c>
      <c r="D6" s="22" t="s">
        <v>69</v>
      </c>
      <c r="E6" s="45" t="s">
        <v>132</v>
      </c>
      <c r="F6" s="43">
        <v>5</v>
      </c>
      <c r="G6" s="22" t="s">
        <v>103</v>
      </c>
      <c r="H6" s="22">
        <v>2.2999999999999998</v>
      </c>
      <c r="I6" s="22">
        <v>82468</v>
      </c>
      <c r="J6" s="77">
        <f t="shared" ref="J6:J11" si="0">I6*125/100</f>
        <v>103085</v>
      </c>
      <c r="K6" s="22">
        <f t="shared" ref="K6:K8" si="1">J6*30%</f>
        <v>30925.5</v>
      </c>
      <c r="L6" s="22"/>
      <c r="M6" s="22"/>
      <c r="N6" s="22"/>
      <c r="O6" s="22"/>
      <c r="P6" s="22"/>
      <c r="Q6" s="22"/>
      <c r="R6" s="22"/>
      <c r="S6" s="77">
        <f t="shared" ref="S6:S10" si="2">N6+O6+P6+Q6+R6</f>
        <v>0</v>
      </c>
      <c r="T6" s="46">
        <v>1</v>
      </c>
      <c r="U6" s="46">
        <v>1</v>
      </c>
      <c r="V6" s="46">
        <v>1</v>
      </c>
      <c r="W6" s="46">
        <v>1</v>
      </c>
      <c r="X6" s="46">
        <v>1</v>
      </c>
      <c r="Y6" s="46"/>
      <c r="Z6" s="46"/>
      <c r="AA6" s="79">
        <f t="shared" ref="AA6:AA10" si="3">T6+U6+V6+W6+X6+Y6+Z6</f>
        <v>5</v>
      </c>
      <c r="AB6" s="22"/>
      <c r="AC6" s="22"/>
      <c r="AD6" s="22"/>
      <c r="AE6" s="22"/>
      <c r="AF6" s="22"/>
      <c r="AG6" s="77">
        <f t="shared" ref="AG6:AG10" si="4">AB6+AD6+AE6+AF6+AC6</f>
        <v>0</v>
      </c>
      <c r="AH6" s="77">
        <f t="shared" ref="AH6:AH10" si="5">(J6+L6)/16*S6</f>
        <v>0</v>
      </c>
      <c r="AI6" s="77">
        <f t="shared" ref="AI6:AI10" si="6">(J6+L6)/16*AA6</f>
        <v>32214.0625</v>
      </c>
      <c r="AJ6" s="80">
        <f t="shared" ref="AJ6:AJ10" si="7">(J6+L6)/16*AG6</f>
        <v>0</v>
      </c>
      <c r="AK6" s="22"/>
      <c r="AL6" s="22"/>
      <c r="AM6" s="22"/>
      <c r="AN6" s="22"/>
      <c r="AO6" s="22"/>
      <c r="AP6" s="22"/>
      <c r="AQ6" s="47">
        <f t="shared" ref="AQ6:AQ10" si="8">M6/18*S6+M6/18*AA6+M6/18*AG6</f>
        <v>0</v>
      </c>
      <c r="AR6" s="47">
        <f t="shared" ref="AR6:AR10" si="9">AH6+AI6+AJ6+AL6+AN6+AP6+AQ6</f>
        <v>32214.0625</v>
      </c>
      <c r="AS6" s="22"/>
      <c r="AT6" s="22"/>
      <c r="AU6" s="22"/>
      <c r="AV6" s="22"/>
      <c r="AW6" s="77">
        <f t="shared" ref="AW6:AW10" si="10">(AH6+AI6+AJ6+AV6)*75%</f>
        <v>24160.546875</v>
      </c>
      <c r="AX6" s="22"/>
      <c r="AY6" s="77">
        <f t="shared" ref="AY6:AY10" si="11">(AH6+AI6+AJ6+AV6+AW6)*10%</f>
        <v>5637.4609375</v>
      </c>
      <c r="AZ6" s="77">
        <f t="shared" ref="AZ6:AZ10" si="12">K6/16*S6+K6/16*AA6+K6/16*AG6</f>
        <v>9664.21875</v>
      </c>
      <c r="BA6" s="77">
        <f t="shared" ref="BA6:BA10" si="13">AZ6*75%</f>
        <v>7248.1640625</v>
      </c>
      <c r="BB6" s="22">
        <f t="shared" ref="BB6:BB10" si="14">AZ6+BA6</f>
        <v>16912.3828125</v>
      </c>
      <c r="BC6" s="22"/>
      <c r="BD6" s="22">
        <v>442</v>
      </c>
      <c r="BE6" s="80">
        <f t="shared" ref="BE6:BE10" si="15">AR6+AS6+AT6+AU6+AV6+AX6+AY6+BD6+AZ6+BA6</f>
        <v>55205.90625</v>
      </c>
      <c r="BF6" s="81">
        <f t="shared" ref="BF6:BF10" si="16">AW6</f>
        <v>24160.546875</v>
      </c>
      <c r="BG6" s="82">
        <f t="shared" ref="BG6:BG10" si="17">BE6+BF6</f>
        <v>79366.453125</v>
      </c>
    </row>
    <row r="7" spans="1:59" s="48" customFormat="1" ht="18" customHeight="1" x14ac:dyDescent="0.25">
      <c r="A7" s="42"/>
      <c r="B7" s="22" t="s">
        <v>216</v>
      </c>
      <c r="C7" s="22" t="s">
        <v>154</v>
      </c>
      <c r="D7" s="22" t="s">
        <v>69</v>
      </c>
      <c r="E7" s="45"/>
      <c r="F7" s="43">
        <v>5</v>
      </c>
      <c r="G7" s="22" t="s">
        <v>103</v>
      </c>
      <c r="H7" s="22">
        <v>2.4</v>
      </c>
      <c r="I7" s="22">
        <v>75566</v>
      </c>
      <c r="J7" s="77">
        <f t="shared" si="0"/>
        <v>94457.5</v>
      </c>
      <c r="K7" s="22">
        <f t="shared" si="1"/>
        <v>28337.25</v>
      </c>
      <c r="L7" s="22"/>
      <c r="M7" s="22"/>
      <c r="N7" s="22"/>
      <c r="O7" s="22"/>
      <c r="P7" s="22"/>
      <c r="Q7" s="22"/>
      <c r="R7" s="22"/>
      <c r="S7" s="77">
        <f t="shared" si="2"/>
        <v>0</v>
      </c>
      <c r="T7" s="46"/>
      <c r="U7" s="46"/>
      <c r="V7" s="46"/>
      <c r="W7" s="46"/>
      <c r="X7" s="46"/>
      <c r="Y7" s="46"/>
      <c r="Z7" s="22"/>
      <c r="AA7" s="79">
        <f t="shared" si="3"/>
        <v>0</v>
      </c>
      <c r="AB7" s="22"/>
      <c r="AC7" s="22"/>
      <c r="AD7" s="22"/>
      <c r="AE7" s="22"/>
      <c r="AF7" s="22">
        <v>1</v>
      </c>
      <c r="AG7" s="77">
        <f t="shared" si="4"/>
        <v>1</v>
      </c>
      <c r="AH7" s="77">
        <f t="shared" si="5"/>
        <v>0</v>
      </c>
      <c r="AI7" s="77">
        <f t="shared" si="6"/>
        <v>0</v>
      </c>
      <c r="AJ7" s="80">
        <f t="shared" si="7"/>
        <v>5903.59375</v>
      </c>
      <c r="AK7" s="22"/>
      <c r="AL7" s="22"/>
      <c r="AM7" s="22"/>
      <c r="AN7" s="22"/>
      <c r="AO7" s="22"/>
      <c r="AP7" s="22"/>
      <c r="AQ7" s="47">
        <f t="shared" si="8"/>
        <v>0</v>
      </c>
      <c r="AR7" s="47">
        <f t="shared" si="9"/>
        <v>5903.59375</v>
      </c>
      <c r="AS7" s="22"/>
      <c r="AT7" s="22"/>
      <c r="AU7" s="22"/>
      <c r="AV7" s="22"/>
      <c r="AW7" s="77">
        <f t="shared" si="10"/>
        <v>4427.6953125</v>
      </c>
      <c r="AX7" s="22"/>
      <c r="AY7" s="77">
        <f t="shared" si="11"/>
        <v>1033.12890625</v>
      </c>
      <c r="AZ7" s="77">
        <f t="shared" si="12"/>
        <v>1771.078125</v>
      </c>
      <c r="BA7" s="77">
        <f t="shared" si="13"/>
        <v>1328.30859375</v>
      </c>
      <c r="BB7" s="22">
        <f t="shared" si="14"/>
        <v>3099.38671875</v>
      </c>
      <c r="BC7" s="22"/>
      <c r="BD7" s="22"/>
      <c r="BE7" s="80">
        <f t="shared" si="15"/>
        <v>10036.109375</v>
      </c>
      <c r="BF7" s="81">
        <f t="shared" si="16"/>
        <v>4427.6953125</v>
      </c>
      <c r="BG7" s="82">
        <f t="shared" si="17"/>
        <v>14463.8046875</v>
      </c>
    </row>
    <row r="8" spans="1:59" s="48" customFormat="1" x14ac:dyDescent="0.25">
      <c r="A8" s="42"/>
      <c r="B8" s="22" t="s">
        <v>216</v>
      </c>
      <c r="C8" s="22" t="s">
        <v>114</v>
      </c>
      <c r="D8" s="22" t="s">
        <v>69</v>
      </c>
      <c r="E8" s="45"/>
      <c r="F8" s="43">
        <v>5</v>
      </c>
      <c r="G8" s="22" t="s">
        <v>103</v>
      </c>
      <c r="H8" s="22">
        <v>2.4</v>
      </c>
      <c r="I8" s="22">
        <v>75566</v>
      </c>
      <c r="J8" s="77">
        <f t="shared" si="0"/>
        <v>94457.5</v>
      </c>
      <c r="K8" s="22">
        <f t="shared" si="1"/>
        <v>28337.25</v>
      </c>
      <c r="L8" s="22"/>
      <c r="M8" s="22"/>
      <c r="N8" s="22"/>
      <c r="O8" s="22"/>
      <c r="P8" s="22"/>
      <c r="Q8" s="22"/>
      <c r="R8" s="22"/>
      <c r="S8" s="77">
        <f t="shared" si="2"/>
        <v>0</v>
      </c>
      <c r="T8" s="46">
        <v>1</v>
      </c>
      <c r="U8" s="46">
        <v>2</v>
      </c>
      <c r="V8" s="46">
        <v>1</v>
      </c>
      <c r="W8" s="46"/>
      <c r="X8" s="46">
        <v>1</v>
      </c>
      <c r="Y8" s="46"/>
      <c r="Z8" s="22"/>
      <c r="AA8" s="79">
        <f t="shared" si="3"/>
        <v>5</v>
      </c>
      <c r="AB8" s="22"/>
      <c r="AC8" s="22"/>
      <c r="AD8" s="22"/>
      <c r="AE8" s="22"/>
      <c r="AF8" s="22"/>
      <c r="AG8" s="77">
        <f t="shared" si="4"/>
        <v>0</v>
      </c>
      <c r="AH8" s="77">
        <f t="shared" si="5"/>
        <v>0</v>
      </c>
      <c r="AI8" s="77">
        <f t="shared" si="6"/>
        <v>29517.96875</v>
      </c>
      <c r="AJ8" s="80">
        <f t="shared" si="7"/>
        <v>0</v>
      </c>
      <c r="AK8" s="22"/>
      <c r="AL8" s="22"/>
      <c r="AM8" s="22"/>
      <c r="AN8" s="22"/>
      <c r="AO8" s="22"/>
      <c r="AP8" s="22"/>
      <c r="AQ8" s="47">
        <f t="shared" si="8"/>
        <v>0</v>
      </c>
      <c r="AR8" s="47">
        <f t="shared" si="9"/>
        <v>29517.96875</v>
      </c>
      <c r="AS8" s="22"/>
      <c r="AT8" s="22"/>
      <c r="AU8" s="22"/>
      <c r="AV8" s="22"/>
      <c r="AW8" s="77">
        <f t="shared" si="10"/>
        <v>22138.4765625</v>
      </c>
      <c r="AX8" s="22"/>
      <c r="AY8" s="77">
        <f t="shared" si="11"/>
        <v>5165.64453125</v>
      </c>
      <c r="AZ8" s="77">
        <f t="shared" si="12"/>
        <v>8855.390625</v>
      </c>
      <c r="BA8" s="77">
        <f t="shared" si="13"/>
        <v>6641.54296875</v>
      </c>
      <c r="BB8" s="22">
        <f t="shared" si="14"/>
        <v>15496.93359375</v>
      </c>
      <c r="BC8" s="22"/>
      <c r="BD8" s="22">
        <v>442</v>
      </c>
      <c r="BE8" s="80">
        <f t="shared" si="15"/>
        <v>50622.546875</v>
      </c>
      <c r="BF8" s="81">
        <f t="shared" si="16"/>
        <v>22138.4765625</v>
      </c>
      <c r="BG8" s="82">
        <f t="shared" si="17"/>
        <v>72761.0234375</v>
      </c>
    </row>
    <row r="9" spans="1:59" s="48" customFormat="1" x14ac:dyDescent="0.25">
      <c r="A9" s="42"/>
      <c r="B9" s="22" t="s">
        <v>185</v>
      </c>
      <c r="C9" s="22" t="s">
        <v>188</v>
      </c>
      <c r="D9" s="22" t="s">
        <v>109</v>
      </c>
      <c r="E9" s="45"/>
      <c r="F9" s="43">
        <v>0</v>
      </c>
      <c r="G9" s="22" t="s">
        <v>103</v>
      </c>
      <c r="H9" s="22">
        <v>4.4000000000000004</v>
      </c>
      <c r="I9" s="22">
        <v>58754</v>
      </c>
      <c r="J9" s="77">
        <f t="shared" si="0"/>
        <v>73442.5</v>
      </c>
      <c r="K9" s="22">
        <f t="shared" ref="K9" si="18">J9*30%</f>
        <v>22032.75</v>
      </c>
      <c r="L9" s="22"/>
      <c r="M9" s="22"/>
      <c r="N9" s="22"/>
      <c r="O9" s="22"/>
      <c r="P9" s="22"/>
      <c r="Q9" s="22"/>
      <c r="R9" s="22"/>
      <c r="S9" s="77">
        <f t="shared" si="2"/>
        <v>0</v>
      </c>
      <c r="T9" s="46"/>
      <c r="U9" s="46"/>
      <c r="V9" s="46"/>
      <c r="W9" s="46"/>
      <c r="X9" s="46"/>
      <c r="Y9" s="46"/>
      <c r="Z9" s="46">
        <v>2</v>
      </c>
      <c r="AA9" s="79">
        <f t="shared" si="3"/>
        <v>2</v>
      </c>
      <c r="AB9" s="22"/>
      <c r="AC9" s="22"/>
      <c r="AD9" s="22">
        <v>1</v>
      </c>
      <c r="AE9" s="22"/>
      <c r="AF9" s="22"/>
      <c r="AG9" s="77">
        <f t="shared" si="4"/>
        <v>1</v>
      </c>
      <c r="AH9" s="77">
        <f t="shared" si="5"/>
        <v>0</v>
      </c>
      <c r="AI9" s="77">
        <f t="shared" si="6"/>
        <v>9180.3125</v>
      </c>
      <c r="AJ9" s="80">
        <f t="shared" si="7"/>
        <v>4590.15625</v>
      </c>
      <c r="AK9" s="22"/>
      <c r="AL9" s="22"/>
      <c r="AM9" s="22"/>
      <c r="AN9" s="22"/>
      <c r="AO9" s="22"/>
      <c r="AP9" s="22"/>
      <c r="AQ9" s="47">
        <f t="shared" si="8"/>
        <v>0</v>
      </c>
      <c r="AR9" s="47">
        <f t="shared" si="9"/>
        <v>13770.46875</v>
      </c>
      <c r="AS9" s="22"/>
      <c r="AT9" s="22"/>
      <c r="AU9" s="22"/>
      <c r="AV9" s="22"/>
      <c r="AW9" s="77">
        <f t="shared" si="10"/>
        <v>10327.8515625</v>
      </c>
      <c r="AX9" s="22"/>
      <c r="AY9" s="77">
        <f t="shared" si="11"/>
        <v>2409.83203125</v>
      </c>
      <c r="AZ9" s="77">
        <f t="shared" si="12"/>
        <v>4131.140625</v>
      </c>
      <c r="BA9" s="77">
        <f t="shared" si="13"/>
        <v>3098.35546875</v>
      </c>
      <c r="BB9" s="22">
        <f t="shared" si="14"/>
        <v>7229.49609375</v>
      </c>
      <c r="BC9" s="22"/>
      <c r="BD9" s="22"/>
      <c r="BE9" s="80">
        <f t="shared" si="15"/>
        <v>23409.796875</v>
      </c>
      <c r="BF9" s="81">
        <f t="shared" si="16"/>
        <v>10327.8515625</v>
      </c>
      <c r="BG9" s="82">
        <f t="shared" si="17"/>
        <v>33737.6484375</v>
      </c>
    </row>
    <row r="10" spans="1:59" s="48" customFormat="1" x14ac:dyDescent="0.25">
      <c r="A10" s="42"/>
      <c r="B10" s="22" t="s">
        <v>84</v>
      </c>
      <c r="C10" s="22" t="s">
        <v>114</v>
      </c>
      <c r="D10" s="22" t="s">
        <v>69</v>
      </c>
      <c r="E10" s="45"/>
      <c r="F10" s="43">
        <v>10</v>
      </c>
      <c r="G10" s="22" t="s">
        <v>103</v>
      </c>
      <c r="H10" s="245">
        <v>2.4</v>
      </c>
      <c r="I10" s="245">
        <v>77513</v>
      </c>
      <c r="J10" s="77">
        <f t="shared" si="0"/>
        <v>96891.25</v>
      </c>
      <c r="K10" s="22">
        <f t="shared" ref="K10" si="19">J10*30%</f>
        <v>29067.375</v>
      </c>
      <c r="L10" s="22"/>
      <c r="M10" s="22"/>
      <c r="N10" s="22"/>
      <c r="O10" s="22"/>
      <c r="P10" s="22"/>
      <c r="Q10" s="22"/>
      <c r="R10" s="22"/>
      <c r="S10" s="77">
        <f t="shared" si="2"/>
        <v>0</v>
      </c>
      <c r="T10" s="46"/>
      <c r="U10" s="46"/>
      <c r="V10" s="46"/>
      <c r="W10" s="46">
        <v>1</v>
      </c>
      <c r="X10" s="46"/>
      <c r="Y10" s="46"/>
      <c r="Z10" s="22"/>
      <c r="AA10" s="79">
        <f t="shared" si="3"/>
        <v>1</v>
      </c>
      <c r="AB10" s="22"/>
      <c r="AC10" s="22"/>
      <c r="AD10" s="22"/>
      <c r="AE10" s="22"/>
      <c r="AF10" s="22"/>
      <c r="AG10" s="77">
        <f t="shared" si="4"/>
        <v>0</v>
      </c>
      <c r="AH10" s="77">
        <f t="shared" si="5"/>
        <v>0</v>
      </c>
      <c r="AI10" s="77">
        <f t="shared" si="6"/>
        <v>6055.703125</v>
      </c>
      <c r="AJ10" s="80">
        <f t="shared" si="7"/>
        <v>0</v>
      </c>
      <c r="AK10" s="22"/>
      <c r="AL10" s="22"/>
      <c r="AM10" s="22"/>
      <c r="AN10" s="22"/>
      <c r="AO10" s="22"/>
      <c r="AP10" s="22"/>
      <c r="AQ10" s="47">
        <f t="shared" si="8"/>
        <v>0</v>
      </c>
      <c r="AR10" s="47">
        <f t="shared" si="9"/>
        <v>6055.703125</v>
      </c>
      <c r="AS10" s="22"/>
      <c r="AT10" s="22"/>
      <c r="AU10" s="22"/>
      <c r="AV10" s="22"/>
      <c r="AW10" s="77">
        <f t="shared" si="10"/>
        <v>4541.77734375</v>
      </c>
      <c r="AX10" s="22"/>
      <c r="AY10" s="77">
        <f t="shared" si="11"/>
        <v>1059.748046875</v>
      </c>
      <c r="AZ10" s="77">
        <f t="shared" si="12"/>
        <v>1816.7109375</v>
      </c>
      <c r="BA10" s="77">
        <f t="shared" si="13"/>
        <v>1362.533203125</v>
      </c>
      <c r="BB10" s="22">
        <f t="shared" si="14"/>
        <v>3179.244140625</v>
      </c>
      <c r="BC10" s="22"/>
      <c r="BD10" s="22"/>
      <c r="BE10" s="80">
        <f t="shared" si="15"/>
        <v>10294.6953125</v>
      </c>
      <c r="BF10" s="81">
        <f t="shared" si="16"/>
        <v>4541.77734375</v>
      </c>
      <c r="BG10" s="82">
        <f t="shared" si="17"/>
        <v>14836.47265625</v>
      </c>
    </row>
    <row r="11" spans="1:59" ht="15.75" customHeight="1" x14ac:dyDescent="0.25">
      <c r="A11" s="85"/>
      <c r="B11" s="26" t="s">
        <v>119</v>
      </c>
      <c r="C11" s="60"/>
      <c r="D11" s="60"/>
      <c r="E11" s="86"/>
      <c r="F11" s="87"/>
      <c r="G11" s="60"/>
      <c r="H11" s="60"/>
      <c r="I11" s="60"/>
      <c r="J11" s="60">
        <f t="shared" si="0"/>
        <v>0</v>
      </c>
      <c r="K11" s="60"/>
      <c r="L11" s="60"/>
      <c r="M11" s="60"/>
      <c r="N11" s="60">
        <f>SUM(N5:N10)</f>
        <v>0</v>
      </c>
      <c r="O11" s="60">
        <f>SUM(O5:O10)</f>
        <v>0</v>
      </c>
      <c r="P11" s="60">
        <f>SUM(P5:P10)</f>
        <v>0</v>
      </c>
      <c r="Q11" s="60">
        <f>SUM(Q5:Q10)</f>
        <v>0</v>
      </c>
      <c r="R11" s="60">
        <f>SUM(R5:R10)</f>
        <v>0</v>
      </c>
      <c r="S11" s="60">
        <f>SUM(S5:S10)</f>
        <v>0</v>
      </c>
      <c r="T11" s="60">
        <f>SUM(T5:T10)</f>
        <v>2</v>
      </c>
      <c r="U11" s="60">
        <f>SUM(U5:U10)</f>
        <v>3</v>
      </c>
      <c r="V11" s="60">
        <f>SUM(V5:V10)</f>
        <v>2</v>
      </c>
      <c r="W11" s="60">
        <f>SUM(W5:W10)</f>
        <v>2</v>
      </c>
      <c r="X11" s="60">
        <f>SUM(X5:X10)</f>
        <v>2</v>
      </c>
      <c r="Y11" s="60">
        <f>SUM(Y5:Y10)</f>
        <v>0</v>
      </c>
      <c r="Z11" s="60">
        <f>SUM(Z5:Z10)</f>
        <v>2</v>
      </c>
      <c r="AA11" s="60">
        <f>SUM(AA5:AA10)</f>
        <v>13</v>
      </c>
      <c r="AB11" s="60">
        <f>SUM(AB5:AB10)</f>
        <v>0</v>
      </c>
      <c r="AC11" s="60">
        <f>SUM(AC5:AC10)</f>
        <v>0</v>
      </c>
      <c r="AD11" s="60">
        <f>SUM(AD5:AD10)</f>
        <v>1</v>
      </c>
      <c r="AE11" s="60">
        <f>SUM(AE5:AE10)</f>
        <v>0</v>
      </c>
      <c r="AF11" s="60">
        <f>SUM(AF5:AF10)</f>
        <v>1</v>
      </c>
      <c r="AG11" s="60">
        <f>SUM(AG5:AG10)</f>
        <v>2</v>
      </c>
      <c r="AH11" s="60">
        <f>SUM(AH5:AH10)</f>
        <v>0</v>
      </c>
      <c r="AI11" s="60">
        <f>SUM(AI5:AI10)</f>
        <v>76968.046875</v>
      </c>
      <c r="AJ11" s="60">
        <f>SUM(AJ5:AJ10)</f>
        <v>10493.75</v>
      </c>
      <c r="AK11" s="60">
        <f>SUM(AK5:AK10)</f>
        <v>0</v>
      </c>
      <c r="AL11" s="60">
        <f>SUM(AL5:AL10)</f>
        <v>0</v>
      </c>
      <c r="AM11" s="60">
        <f>SUM(AM5:AM10)</f>
        <v>0</v>
      </c>
      <c r="AN11" s="60">
        <f>SUM(AN5:AN10)</f>
        <v>0</v>
      </c>
      <c r="AO11" s="60">
        <f>SUM(AO5:AO10)</f>
        <v>0</v>
      </c>
      <c r="AP11" s="60">
        <f>SUM(AP5:AP10)</f>
        <v>0</v>
      </c>
      <c r="AQ11" s="60">
        <f>SUM(AQ5:AQ10)</f>
        <v>0</v>
      </c>
      <c r="AR11" s="60">
        <f>SUM(AR5:AR10)</f>
        <v>87461.796875</v>
      </c>
      <c r="AS11" s="60">
        <f>SUM(AS5:AS10)</f>
        <v>0</v>
      </c>
      <c r="AT11" s="60">
        <f>SUM(AT5:AT10)</f>
        <v>0</v>
      </c>
      <c r="AU11" s="60">
        <f>SUM(AU5:AU10)</f>
        <v>0</v>
      </c>
      <c r="AV11" s="60">
        <f>SUM(AV5:AV10)</f>
        <v>0</v>
      </c>
      <c r="AW11" s="60">
        <f>SUM(AW5:AW10)</f>
        <v>65596.34765625</v>
      </c>
      <c r="AX11" s="60">
        <f>SUM(AX5:AX10)</f>
        <v>0</v>
      </c>
      <c r="AY11" s="60">
        <f>SUM(AY5:AY10)</f>
        <v>15305.814453125</v>
      </c>
      <c r="AZ11" s="60">
        <f>SUM(AZ5:AZ10)</f>
        <v>26238.5390625</v>
      </c>
      <c r="BA11" s="60">
        <f>SUM(BA5:BA10)</f>
        <v>19678.904296875</v>
      </c>
      <c r="BB11" s="60">
        <f>SUM(BB5:BB10)</f>
        <v>45917.443359375</v>
      </c>
      <c r="BC11" s="60"/>
      <c r="BD11" s="60">
        <f>SUM(BD5:BD10)</f>
        <v>884</v>
      </c>
      <c r="BE11" s="216">
        <f>SUM(BE5:BE10)</f>
        <v>149569.0546875</v>
      </c>
      <c r="BF11" s="60">
        <f>SUM(BF5:BF10)</f>
        <v>65596.34765625</v>
      </c>
      <c r="BG11" s="60">
        <f>BE11+BF11</f>
        <v>215165.40234375</v>
      </c>
    </row>
    <row r="12" spans="1:59" x14ac:dyDescent="0.25">
      <c r="A12" s="61"/>
      <c r="B12" s="39"/>
      <c r="C12" s="62"/>
      <c r="D12" s="39"/>
      <c r="E12" s="6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4"/>
      <c r="BG12" s="65"/>
    </row>
    <row r="13" spans="1:59" x14ac:dyDescent="0.25">
      <c r="B13" t="s">
        <v>214</v>
      </c>
      <c r="C13" s="13"/>
      <c r="D13" s="142" t="s">
        <v>219</v>
      </c>
      <c r="E13" s="36"/>
      <c r="BF13" s="16"/>
      <c r="BG13" s="59"/>
    </row>
    <row r="14" spans="1:59" x14ac:dyDescent="0.25">
      <c r="D14" s="36"/>
      <c r="E14" s="36"/>
      <c r="BF14" s="16"/>
      <c r="BG14" s="59"/>
    </row>
    <row r="15" spans="1:59" x14ac:dyDescent="0.25">
      <c r="B15" t="s">
        <v>116</v>
      </c>
      <c r="D15" s="36" t="s">
        <v>128</v>
      </c>
      <c r="E15" s="36"/>
      <c r="F15" s="13"/>
      <c r="BF15" s="16"/>
      <c r="BG15" s="59"/>
    </row>
    <row r="16" spans="1:59" x14ac:dyDescent="0.25">
      <c r="D16" s="36"/>
      <c r="E16" s="36"/>
      <c r="F16" s="13"/>
      <c r="BF16" s="16"/>
      <c r="BG16" s="59"/>
    </row>
    <row r="17" spans="2:59" x14ac:dyDescent="0.25">
      <c r="B17" t="s">
        <v>205</v>
      </c>
      <c r="D17" s="180" t="s">
        <v>86</v>
      </c>
      <c r="E17" s="36"/>
      <c r="F17" s="13"/>
      <c r="BG17" s="57"/>
    </row>
    <row r="18" spans="2:59" x14ac:dyDescent="0.25">
      <c r="E18" s="36"/>
      <c r="F18" s="13"/>
      <c r="BG18" s="57"/>
    </row>
  </sheetData>
  <mergeCells count="38">
    <mergeCell ref="BC2:BC4"/>
    <mergeCell ref="BD2:BD4"/>
    <mergeCell ref="BE2:BE4"/>
    <mergeCell ref="BF2:BF4"/>
    <mergeCell ref="BG2:BG4"/>
    <mergeCell ref="N3:S3"/>
    <mergeCell ref="T3:AA3"/>
    <mergeCell ref="AB3:AG3"/>
    <mergeCell ref="AK3:AL3"/>
    <mergeCell ref="AM3:AN3"/>
    <mergeCell ref="AW2:AW4"/>
    <mergeCell ref="AX2:AX4"/>
    <mergeCell ref="AY2:AY4"/>
    <mergeCell ref="AZ2:AZ4"/>
    <mergeCell ref="BA2:BA4"/>
    <mergeCell ref="BB2:BB4"/>
    <mergeCell ref="AH2:AJ2"/>
    <mergeCell ref="AK2:AP2"/>
    <mergeCell ref="AQ2:AQ4"/>
    <mergeCell ref="AR2:AR4"/>
    <mergeCell ref="AS2:AU2"/>
    <mergeCell ref="AV2:AV4"/>
    <mergeCell ref="AO3:AP3"/>
    <mergeCell ref="AS3:AS4"/>
    <mergeCell ref="AT3:AT4"/>
    <mergeCell ref="AU3:AU4"/>
    <mergeCell ref="I2:I4"/>
    <mergeCell ref="J2:J4"/>
    <mergeCell ref="K2:K4"/>
    <mergeCell ref="L2:L4"/>
    <mergeCell ref="M2:M4"/>
    <mergeCell ref="N2:AG2"/>
    <mergeCell ref="A2:A4"/>
    <mergeCell ref="B2:B4"/>
    <mergeCell ref="C2:C4"/>
    <mergeCell ref="D2:D4"/>
    <mergeCell ref="F2:F4"/>
    <mergeCell ref="G2:G4"/>
  </mergeCells>
  <pageMargins left="0" right="0" top="0.74803149606299213" bottom="0.74803149606299213" header="0.31496062992125984" footer="0.31496062992125984"/>
  <pageSetup paperSize="9" scale="65" orientation="landscape" verticalDpi="0" copies="1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23"/>
  <sheetViews>
    <sheetView workbookViewId="0">
      <selection activeCell="A11" sqref="A11:XFD11"/>
    </sheetView>
  </sheetViews>
  <sheetFormatPr defaultRowHeight="15" x14ac:dyDescent="0.25"/>
  <cols>
    <col min="1" max="1" width="5" customWidth="1"/>
    <col min="2" max="2" width="18.5703125" customWidth="1"/>
    <col min="3" max="3" width="11.42578125" customWidth="1"/>
    <col min="4" max="4" width="18.85546875" customWidth="1"/>
    <col min="5" max="5" width="14.28515625" customWidth="1"/>
    <col min="6" max="6" width="8.5703125" customWidth="1"/>
    <col min="7" max="7" width="9.5703125" customWidth="1"/>
    <col min="8" max="8" width="5.140625" customWidth="1"/>
    <col min="9" max="9" width="4.140625" customWidth="1"/>
    <col min="10" max="10" width="4.85546875" customWidth="1"/>
    <col min="11" max="11" width="10.5703125" customWidth="1"/>
    <col min="12" max="12" width="9.7109375" customWidth="1"/>
    <col min="13" max="13" width="10.5703125" customWidth="1"/>
    <col min="14" max="14" width="5.28515625" customWidth="1"/>
    <col min="15" max="15" width="0" hidden="1" customWidth="1"/>
    <col min="16" max="16" width="9" customWidth="1"/>
    <col min="17" max="17" width="5" customWidth="1"/>
    <col min="18" max="20" width="2.7109375" customWidth="1"/>
    <col min="21" max="21" width="5.85546875" customWidth="1"/>
    <col min="22" max="22" width="5.5703125" customWidth="1"/>
    <col min="23" max="27" width="3.140625" customWidth="1"/>
    <col min="28" max="28" width="5.85546875" customWidth="1"/>
    <col min="29" max="29" width="4.140625" customWidth="1"/>
    <col min="30" max="33" width="3.28515625" customWidth="1"/>
    <col min="34" max="34" width="4.85546875" customWidth="1"/>
    <col min="35" max="38" width="5.42578125" customWidth="1"/>
    <col min="39" max="39" width="3.85546875" customWidth="1"/>
    <col min="40" max="40" width="0.28515625" customWidth="1"/>
    <col min="41" max="41" width="4.85546875" customWidth="1"/>
    <col min="42" max="42" width="4.5703125" customWidth="1"/>
    <col min="43" max="43" width="4.28515625" customWidth="1"/>
    <col min="44" max="44" width="3.5703125" customWidth="1"/>
    <col min="45" max="45" width="10.140625" customWidth="1"/>
    <col min="46" max="46" width="9.85546875" customWidth="1"/>
    <col min="47" max="47" width="5.85546875" customWidth="1"/>
    <col min="48" max="48" width="4.7109375" customWidth="1"/>
    <col min="49" max="49" width="6.140625" customWidth="1"/>
    <col min="50" max="50" width="6.28515625" customWidth="1"/>
    <col min="51" max="51" width="8.42578125" customWidth="1"/>
    <col min="52" max="52" width="4.7109375" customWidth="1"/>
    <col min="53" max="53" width="3.28515625" customWidth="1"/>
    <col min="54" max="54" width="5.28515625" customWidth="1"/>
    <col min="55" max="55" width="9.42578125" customWidth="1"/>
    <col min="56" max="56" width="9.5703125" customWidth="1"/>
    <col min="57" max="58" width="8.140625" customWidth="1"/>
  </cols>
  <sheetData>
    <row r="2" spans="1:59" x14ac:dyDescent="0.25">
      <c r="A2" s="91"/>
      <c r="B2" s="92"/>
      <c r="C2" s="93"/>
      <c r="D2" s="94"/>
      <c r="E2" s="94"/>
      <c r="F2" s="95"/>
      <c r="G2" s="93"/>
      <c r="H2" s="96"/>
      <c r="I2" s="96"/>
      <c r="J2" s="93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7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7"/>
    </row>
    <row r="3" spans="1:59" x14ac:dyDescent="0.25">
      <c r="A3" s="91"/>
      <c r="B3" s="92"/>
      <c r="C3" s="93"/>
      <c r="D3" s="94"/>
      <c r="E3" s="94"/>
      <c r="F3" s="95"/>
      <c r="G3" s="93"/>
      <c r="H3" s="96"/>
      <c r="I3" s="96"/>
      <c r="J3" s="93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7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7"/>
    </row>
    <row r="4" spans="1:59" x14ac:dyDescent="0.25">
      <c r="A4" s="91"/>
      <c r="B4" s="92"/>
      <c r="C4" s="93"/>
      <c r="D4" s="94"/>
      <c r="E4" s="94"/>
      <c r="F4" s="95"/>
      <c r="G4" s="93"/>
      <c r="H4" s="96"/>
      <c r="I4" s="96"/>
      <c r="J4" s="93"/>
      <c r="K4" s="97" t="s">
        <v>159</v>
      </c>
      <c r="L4" s="97"/>
      <c r="M4" s="97"/>
      <c r="N4" s="97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7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7"/>
    </row>
    <row r="5" spans="1:59" x14ac:dyDescent="0.25">
      <c r="A5" s="91"/>
      <c r="B5" s="92"/>
      <c r="C5" s="93"/>
      <c r="D5" s="94"/>
      <c r="E5" s="94"/>
      <c r="F5" s="95"/>
      <c r="G5" s="93"/>
      <c r="H5" s="96"/>
      <c r="I5" s="96"/>
      <c r="J5" s="93"/>
      <c r="K5" s="97" t="s">
        <v>160</v>
      </c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7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7"/>
    </row>
    <row r="6" spans="1:59" x14ac:dyDescent="0.25">
      <c r="A6" s="293"/>
      <c r="B6" s="296" t="s">
        <v>161</v>
      </c>
      <c r="C6" s="98"/>
      <c r="D6" s="283" t="s">
        <v>40</v>
      </c>
      <c r="E6" s="283" t="s">
        <v>41</v>
      </c>
      <c r="F6" s="299" t="s">
        <v>42</v>
      </c>
      <c r="G6" s="99"/>
      <c r="H6" s="292" t="s">
        <v>43</v>
      </c>
      <c r="I6" s="285" t="s">
        <v>99</v>
      </c>
      <c r="J6" s="100"/>
      <c r="K6" s="284" t="s">
        <v>44</v>
      </c>
      <c r="L6" s="288" t="s">
        <v>162</v>
      </c>
      <c r="M6" s="288" t="s">
        <v>163</v>
      </c>
      <c r="N6" s="291" t="s">
        <v>46</v>
      </c>
      <c r="O6" s="291"/>
      <c r="P6" s="291" t="s">
        <v>47</v>
      </c>
      <c r="Q6" s="282" t="s">
        <v>48</v>
      </c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101"/>
      <c r="AJ6" s="282" t="s">
        <v>49</v>
      </c>
      <c r="AK6" s="282"/>
      <c r="AL6" s="282"/>
      <c r="AM6" s="282" t="s">
        <v>50</v>
      </c>
      <c r="AN6" s="282"/>
      <c r="AO6" s="282"/>
      <c r="AP6" s="282"/>
      <c r="AQ6" s="282"/>
      <c r="AR6" s="282"/>
      <c r="AS6" s="291" t="s">
        <v>47</v>
      </c>
      <c r="AT6" s="283" t="s">
        <v>51</v>
      </c>
      <c r="AU6" s="283" t="s">
        <v>52</v>
      </c>
      <c r="AV6" s="283"/>
      <c r="AW6" s="283"/>
      <c r="AX6" s="283" t="s">
        <v>53</v>
      </c>
      <c r="AY6" s="284" t="s">
        <v>199</v>
      </c>
      <c r="AZ6" s="283" t="s">
        <v>164</v>
      </c>
      <c r="BA6" s="284" t="s">
        <v>165</v>
      </c>
      <c r="BB6" s="283" t="s">
        <v>54</v>
      </c>
      <c r="BC6" s="281" t="s">
        <v>166</v>
      </c>
      <c r="BD6" s="1"/>
      <c r="BE6" s="1"/>
      <c r="BF6" s="1"/>
    </row>
    <row r="7" spans="1:59" ht="45" x14ac:dyDescent="0.25">
      <c r="A7" s="294"/>
      <c r="B7" s="297"/>
      <c r="C7" s="102" t="s">
        <v>167</v>
      </c>
      <c r="D7" s="283"/>
      <c r="E7" s="283"/>
      <c r="F7" s="299"/>
      <c r="G7" s="99"/>
      <c r="H7" s="292"/>
      <c r="I7" s="286"/>
      <c r="J7" s="89"/>
      <c r="K7" s="279"/>
      <c r="L7" s="289"/>
      <c r="M7" s="289"/>
      <c r="N7" s="289"/>
      <c r="O7" s="289"/>
      <c r="P7" s="289"/>
      <c r="Q7" s="282" t="s">
        <v>55</v>
      </c>
      <c r="R7" s="282"/>
      <c r="S7" s="282"/>
      <c r="T7" s="282"/>
      <c r="U7" s="282"/>
      <c r="V7" s="282" t="s">
        <v>56</v>
      </c>
      <c r="W7" s="282"/>
      <c r="X7" s="282"/>
      <c r="Y7" s="282"/>
      <c r="Z7" s="282"/>
      <c r="AA7" s="282"/>
      <c r="AB7" s="282"/>
      <c r="AC7" s="282" t="s">
        <v>57</v>
      </c>
      <c r="AD7" s="282"/>
      <c r="AE7" s="282"/>
      <c r="AF7" s="282"/>
      <c r="AG7" s="282"/>
      <c r="AH7" s="282"/>
      <c r="AI7" s="101"/>
      <c r="AJ7" s="103" t="s">
        <v>55</v>
      </c>
      <c r="AK7" s="103" t="s">
        <v>56</v>
      </c>
      <c r="AL7" s="103" t="s">
        <v>57</v>
      </c>
      <c r="AM7" s="282" t="s">
        <v>55</v>
      </c>
      <c r="AN7" s="282"/>
      <c r="AO7" s="282" t="s">
        <v>56</v>
      </c>
      <c r="AP7" s="282"/>
      <c r="AQ7" s="282" t="s">
        <v>57</v>
      </c>
      <c r="AR7" s="282"/>
      <c r="AS7" s="289"/>
      <c r="AT7" s="283"/>
      <c r="AU7" s="283" t="s">
        <v>58</v>
      </c>
      <c r="AV7" s="283" t="s">
        <v>59</v>
      </c>
      <c r="AW7" s="283" t="s">
        <v>60</v>
      </c>
      <c r="AX7" s="283"/>
      <c r="AY7" s="279"/>
      <c r="AZ7" s="283"/>
      <c r="BA7" s="279"/>
      <c r="BB7" s="283"/>
      <c r="BC7" s="281"/>
      <c r="BD7" s="1"/>
      <c r="BE7" s="1"/>
      <c r="BF7" s="1"/>
    </row>
    <row r="8" spans="1:59" ht="75" x14ac:dyDescent="0.25">
      <c r="A8" s="295"/>
      <c r="B8" s="298"/>
      <c r="C8" s="104"/>
      <c r="D8" s="283"/>
      <c r="E8" s="283"/>
      <c r="F8" s="299"/>
      <c r="G8" s="99" t="s">
        <v>168</v>
      </c>
      <c r="H8" s="292"/>
      <c r="I8" s="287"/>
      <c r="J8" s="90"/>
      <c r="K8" s="280"/>
      <c r="L8" s="290"/>
      <c r="M8" s="290"/>
      <c r="N8" s="290"/>
      <c r="O8" s="290"/>
      <c r="P8" s="290"/>
      <c r="Q8" s="105"/>
      <c r="R8" s="105"/>
      <c r="S8" s="105"/>
      <c r="T8" s="105"/>
      <c r="U8" s="106" t="s">
        <v>6</v>
      </c>
      <c r="V8" s="106"/>
      <c r="W8" s="105"/>
      <c r="X8" s="105"/>
      <c r="Y8" s="105"/>
      <c r="Z8" s="105"/>
      <c r="AA8" s="105"/>
      <c r="AB8" s="105" t="s">
        <v>6</v>
      </c>
      <c r="AC8" s="105"/>
      <c r="AD8" s="105"/>
      <c r="AE8" s="105"/>
      <c r="AF8" s="105"/>
      <c r="AG8" s="105"/>
      <c r="AH8" s="105" t="s">
        <v>6</v>
      </c>
      <c r="AI8" s="107"/>
      <c r="AJ8" s="105"/>
      <c r="AK8" s="105"/>
      <c r="AL8" s="105"/>
      <c r="AM8" s="105" t="s">
        <v>61</v>
      </c>
      <c r="AN8" s="106" t="s">
        <v>62</v>
      </c>
      <c r="AO8" s="105" t="s">
        <v>61</v>
      </c>
      <c r="AP8" s="106" t="s">
        <v>62</v>
      </c>
      <c r="AQ8" s="105" t="s">
        <v>61</v>
      </c>
      <c r="AR8" s="106" t="s">
        <v>62</v>
      </c>
      <c r="AS8" s="290"/>
      <c r="AT8" s="283"/>
      <c r="AU8" s="283"/>
      <c r="AV8" s="283"/>
      <c r="AW8" s="283"/>
      <c r="AX8" s="283"/>
      <c r="AY8" s="280"/>
      <c r="AZ8" s="283"/>
      <c r="BA8" s="280"/>
      <c r="BB8" s="283"/>
      <c r="BC8" s="281"/>
      <c r="BD8" s="107">
        <v>121</v>
      </c>
      <c r="BE8" s="107">
        <v>122</v>
      </c>
      <c r="BF8" s="107">
        <v>124</v>
      </c>
    </row>
    <row r="9" spans="1:59" ht="15.75" x14ac:dyDescent="0.25">
      <c r="A9" s="108"/>
      <c r="B9" s="109"/>
      <c r="C9" s="103"/>
      <c r="D9" s="110">
        <v>44562</v>
      </c>
      <c r="E9" s="105"/>
      <c r="F9" s="111"/>
      <c r="G9" s="103"/>
      <c r="H9" s="112"/>
      <c r="I9" s="112"/>
      <c r="J9" s="103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>
        <f>Q9+R9+S9+T9</f>
        <v>0</v>
      </c>
      <c r="V9" s="105"/>
      <c r="W9" s="105"/>
      <c r="X9" s="105"/>
      <c r="Y9" s="105"/>
      <c r="Z9" s="105"/>
      <c r="AA9" s="105"/>
      <c r="AB9" s="105">
        <f>V9+X9+Y9+Z9+AA9</f>
        <v>0</v>
      </c>
      <c r="AC9" s="105"/>
      <c r="AD9" s="105"/>
      <c r="AE9" s="105"/>
      <c r="AF9" s="105"/>
      <c r="AG9" s="105"/>
      <c r="AH9" s="105">
        <f>AC9+AE9+AF9+AG9</f>
        <v>0</v>
      </c>
      <c r="AI9" s="107"/>
      <c r="AJ9" s="105">
        <f>(L9+M9+N9)/18*U9</f>
        <v>0</v>
      </c>
      <c r="AK9" s="105">
        <f>(L9+M9+N9)/18*AB9</f>
        <v>0</v>
      </c>
      <c r="AL9" s="113">
        <f>(L9+M9+N9)/18*AH9</f>
        <v>0</v>
      </c>
      <c r="AM9" s="105"/>
      <c r="AN9" s="105"/>
      <c r="AO9" s="105"/>
      <c r="AP9" s="105"/>
      <c r="AQ9" s="105"/>
      <c r="AR9" s="105"/>
      <c r="AS9" s="113"/>
      <c r="AT9" s="113">
        <f>AJ9+AK9+AL9+AN9+AP9+AR9+AS9</f>
        <v>0</v>
      </c>
      <c r="AU9" s="105"/>
      <c r="AV9" s="105"/>
      <c r="AW9" s="105"/>
      <c r="AX9" s="105"/>
      <c r="AY9" s="105"/>
      <c r="AZ9" s="105"/>
      <c r="BA9" s="105"/>
      <c r="BB9" s="105"/>
      <c r="BC9" s="114"/>
      <c r="BD9" s="1"/>
      <c r="BE9" s="1"/>
      <c r="BF9" s="1"/>
    </row>
    <row r="10" spans="1:59" x14ac:dyDescent="0.25">
      <c r="A10" s="115"/>
      <c r="B10" s="116" t="s">
        <v>169</v>
      </c>
      <c r="C10" s="117"/>
      <c r="D10" s="22" t="s">
        <v>63</v>
      </c>
      <c r="E10" s="49" t="s">
        <v>64</v>
      </c>
      <c r="F10" s="22" t="s">
        <v>65</v>
      </c>
      <c r="G10" s="45" t="s">
        <v>133</v>
      </c>
      <c r="H10" s="43">
        <v>28</v>
      </c>
      <c r="I10" s="22" t="s">
        <v>103</v>
      </c>
      <c r="J10" s="45">
        <v>2.1</v>
      </c>
      <c r="K10" s="77">
        <v>95741</v>
      </c>
      <c r="L10" s="118">
        <f t="shared" ref="L10:L12" si="0">K10*125/100</f>
        <v>119676.25</v>
      </c>
      <c r="M10" s="118">
        <f t="shared" ref="M10:M12" si="1">L10*40%</f>
        <v>47870.5</v>
      </c>
      <c r="N10" s="118"/>
      <c r="O10" s="118"/>
      <c r="P10" s="118"/>
      <c r="Q10" s="118"/>
      <c r="R10" s="118"/>
      <c r="S10" s="118"/>
      <c r="T10" s="118"/>
      <c r="U10" s="118">
        <f t="shared" ref="U10:U12" si="2">Q10+R10+S10+T10</f>
        <v>0</v>
      </c>
      <c r="V10" s="118">
        <v>14</v>
      </c>
      <c r="W10" s="118"/>
      <c r="X10" s="118"/>
      <c r="Y10" s="118"/>
      <c r="Z10" s="118"/>
      <c r="AA10" s="118"/>
      <c r="AB10" s="118">
        <f t="shared" ref="AB10:AB12" si="3">V10+X10+Y10+Z10+AA10</f>
        <v>14</v>
      </c>
      <c r="AC10" s="118">
        <v>5</v>
      </c>
      <c r="AD10" s="118"/>
      <c r="AE10" s="118"/>
      <c r="AF10" s="118"/>
      <c r="AG10" s="118"/>
      <c r="AH10" s="118">
        <f t="shared" ref="AH10:AH12" si="4">AC10+AE10+AF10+AG10</f>
        <v>5</v>
      </c>
      <c r="AI10" s="119">
        <f t="shared" ref="AI10:AI12" si="5">U10+AB10+AH10</f>
        <v>19</v>
      </c>
      <c r="AJ10" s="118"/>
      <c r="AK10" s="118"/>
      <c r="AL10" s="118"/>
      <c r="AM10" s="118"/>
      <c r="AN10" s="118"/>
      <c r="AO10" s="118"/>
      <c r="AP10" s="118"/>
      <c r="AQ10" s="118"/>
      <c r="AR10" s="118"/>
      <c r="AS10" s="120">
        <f>M10/16*U10+M10/16*AB10+M10/16*AH10</f>
        <v>56846.21875</v>
      </c>
      <c r="AT10" s="120">
        <f t="shared" ref="AT10:AT12" si="6">AJ10+AK10+AL10+AN10+AP10+AR10+AS10</f>
        <v>56846.21875</v>
      </c>
      <c r="AU10" s="118"/>
      <c r="AV10" s="118"/>
      <c r="AW10" s="118"/>
      <c r="AX10" s="118"/>
      <c r="AY10" s="118">
        <f>AT10*75%</f>
        <v>42634.6640625</v>
      </c>
      <c r="AZ10" s="118"/>
      <c r="BA10" s="118"/>
      <c r="BB10" s="118"/>
      <c r="BC10" s="121">
        <f t="shared" ref="BC10:BC12" si="7">AT10+AU10+AV10+AW10+AX10+AY10+AZ10+BB10</f>
        <v>99480.8828125</v>
      </c>
      <c r="BD10" s="120">
        <f t="shared" ref="BD10:BD12" si="8">BC10*90/100*6%</f>
        <v>5371.9676718749997</v>
      </c>
      <c r="BE10" s="118">
        <f t="shared" ref="BE10:BE12" si="9">BC10*90/100*3.5%</f>
        <v>3133.6478085937501</v>
      </c>
      <c r="BF10" s="118">
        <f t="shared" ref="BF10:BF12" si="10">BC10*1.5%</f>
        <v>1492.2132421874999</v>
      </c>
      <c r="BG10" s="122"/>
    </row>
    <row r="11" spans="1:59" x14ac:dyDescent="0.25">
      <c r="A11" s="115"/>
      <c r="B11" s="116" t="s">
        <v>169</v>
      </c>
      <c r="C11" s="117"/>
      <c r="D11" s="22" t="s">
        <v>97</v>
      </c>
      <c r="E11" s="22" t="s">
        <v>121</v>
      </c>
      <c r="F11" s="22" t="s">
        <v>65</v>
      </c>
      <c r="G11" s="71" t="s">
        <v>117</v>
      </c>
      <c r="H11" s="43">
        <v>21</v>
      </c>
      <c r="I11" s="22" t="s">
        <v>103</v>
      </c>
      <c r="J11" s="45">
        <v>2.1</v>
      </c>
      <c r="K11" s="22">
        <v>94148</v>
      </c>
      <c r="L11" s="118">
        <f t="shared" si="0"/>
        <v>117685</v>
      </c>
      <c r="M11" s="118">
        <f t="shared" si="1"/>
        <v>47074</v>
      </c>
      <c r="N11" s="118"/>
      <c r="O11" s="118"/>
      <c r="P11" s="118"/>
      <c r="Q11" s="118">
        <v>3</v>
      </c>
      <c r="R11" s="118"/>
      <c r="S11" s="118"/>
      <c r="T11" s="118"/>
      <c r="U11" s="118">
        <f t="shared" si="2"/>
        <v>3</v>
      </c>
      <c r="V11" s="118">
        <v>1</v>
      </c>
      <c r="W11" s="118"/>
      <c r="X11" s="118"/>
      <c r="Y11" s="118"/>
      <c r="Z11" s="118"/>
      <c r="AA11" s="118"/>
      <c r="AB11" s="118">
        <f t="shared" si="3"/>
        <v>1</v>
      </c>
      <c r="AC11" s="118"/>
      <c r="AD11" s="118"/>
      <c r="AE11" s="118"/>
      <c r="AF11" s="118"/>
      <c r="AG11" s="118"/>
      <c r="AH11" s="118">
        <f t="shared" si="4"/>
        <v>0</v>
      </c>
      <c r="AI11" s="119">
        <f t="shared" si="5"/>
        <v>4</v>
      </c>
      <c r="AJ11" s="118"/>
      <c r="AK11" s="118"/>
      <c r="AL11" s="118"/>
      <c r="AM11" s="118"/>
      <c r="AN11" s="118"/>
      <c r="AO11" s="118"/>
      <c r="AP11" s="118"/>
      <c r="AQ11" s="118"/>
      <c r="AR11" s="118"/>
      <c r="AS11" s="120">
        <f t="shared" ref="AS11:AS12" si="11">M11/16*U11+M11/16*AB11+M11/16*AH11</f>
        <v>11768.5</v>
      </c>
      <c r="AT11" s="120">
        <f t="shared" si="6"/>
        <v>11768.5</v>
      </c>
      <c r="AU11" s="118"/>
      <c r="AV11" s="118"/>
      <c r="AW11" s="118"/>
      <c r="AX11" s="118"/>
      <c r="AY11" s="118">
        <f t="shared" ref="AY11:AY12" si="12">AT11*75%</f>
        <v>8826.375</v>
      </c>
      <c r="AZ11" s="118"/>
      <c r="BA11" s="118"/>
      <c r="BB11" s="118"/>
      <c r="BC11" s="121">
        <f t="shared" si="7"/>
        <v>20594.875</v>
      </c>
      <c r="BD11" s="120">
        <f t="shared" si="8"/>
        <v>1112.1232500000001</v>
      </c>
      <c r="BE11" s="118">
        <f t="shared" si="9"/>
        <v>648.73856250000006</v>
      </c>
      <c r="BF11" s="118">
        <f t="shared" si="10"/>
        <v>308.92312499999997</v>
      </c>
      <c r="BG11" s="122"/>
    </row>
    <row r="12" spans="1:59" x14ac:dyDescent="0.25">
      <c r="A12" s="115"/>
      <c r="B12" s="116" t="s">
        <v>169</v>
      </c>
      <c r="C12" s="117"/>
      <c r="D12" s="22" t="s">
        <v>77</v>
      </c>
      <c r="E12" s="50" t="s">
        <v>108</v>
      </c>
      <c r="F12" s="22" t="s">
        <v>101</v>
      </c>
      <c r="G12" s="45" t="s">
        <v>153</v>
      </c>
      <c r="H12" s="43">
        <v>28</v>
      </c>
      <c r="I12" s="22" t="s">
        <v>103</v>
      </c>
      <c r="J12" s="22">
        <v>2.1</v>
      </c>
      <c r="K12" s="22">
        <v>95741</v>
      </c>
      <c r="L12" s="118">
        <f t="shared" si="0"/>
        <v>119676.25</v>
      </c>
      <c r="M12" s="118">
        <f t="shared" si="1"/>
        <v>47870.5</v>
      </c>
      <c r="N12" s="118"/>
      <c r="O12" s="118"/>
      <c r="P12" s="118"/>
      <c r="Q12" s="118">
        <v>27</v>
      </c>
      <c r="R12" s="118"/>
      <c r="S12" s="118"/>
      <c r="T12" s="118"/>
      <c r="U12" s="118">
        <f t="shared" si="2"/>
        <v>27</v>
      </c>
      <c r="V12" s="118"/>
      <c r="W12" s="118"/>
      <c r="X12" s="118"/>
      <c r="Y12" s="118"/>
      <c r="Z12" s="118"/>
      <c r="AA12" s="118"/>
      <c r="AB12" s="118">
        <f t="shared" si="3"/>
        <v>0</v>
      </c>
      <c r="AC12" s="118"/>
      <c r="AD12" s="118"/>
      <c r="AE12" s="118"/>
      <c r="AF12" s="118"/>
      <c r="AG12" s="118"/>
      <c r="AH12" s="118">
        <f t="shared" si="4"/>
        <v>0</v>
      </c>
      <c r="AI12" s="119">
        <f t="shared" si="5"/>
        <v>27</v>
      </c>
      <c r="AJ12" s="118"/>
      <c r="AK12" s="118"/>
      <c r="AL12" s="118"/>
      <c r="AM12" s="118"/>
      <c r="AN12" s="118"/>
      <c r="AO12" s="118"/>
      <c r="AP12" s="118"/>
      <c r="AQ12" s="118"/>
      <c r="AR12" s="118"/>
      <c r="AS12" s="120">
        <f t="shared" si="11"/>
        <v>80781.46875</v>
      </c>
      <c r="AT12" s="120">
        <f t="shared" si="6"/>
        <v>80781.46875</v>
      </c>
      <c r="AU12" s="118"/>
      <c r="AV12" s="118"/>
      <c r="AW12" s="118"/>
      <c r="AX12" s="118"/>
      <c r="AY12" s="118">
        <f t="shared" si="12"/>
        <v>60586.1015625</v>
      </c>
      <c r="AZ12" s="118"/>
      <c r="BA12" s="118"/>
      <c r="BB12" s="118"/>
      <c r="BC12" s="121">
        <f t="shared" si="7"/>
        <v>141367.5703125</v>
      </c>
      <c r="BD12" s="120">
        <f t="shared" si="8"/>
        <v>7633.8487968749996</v>
      </c>
      <c r="BE12" s="118">
        <f t="shared" si="9"/>
        <v>4453.0784648437502</v>
      </c>
      <c r="BF12" s="118">
        <f t="shared" si="10"/>
        <v>2120.5135546874999</v>
      </c>
      <c r="BG12" s="122"/>
    </row>
    <row r="13" spans="1:59" x14ac:dyDescent="0.25">
      <c r="A13" s="126"/>
      <c r="B13" s="127" t="s">
        <v>119</v>
      </c>
      <c r="C13" s="128"/>
      <c r="D13" s="129"/>
      <c r="E13" s="129"/>
      <c r="F13" s="130"/>
      <c r="G13" s="128"/>
      <c r="H13" s="131"/>
      <c r="I13" s="131"/>
      <c r="J13" s="132"/>
      <c r="K13" s="133">
        <f>SUM(K10:K12)</f>
        <v>285630</v>
      </c>
      <c r="L13" s="133">
        <f>SUM(L10:L12)</f>
        <v>357037.5</v>
      </c>
      <c r="M13" s="134">
        <f>SUM(M10:M12)</f>
        <v>142815</v>
      </c>
      <c r="N13" s="133"/>
      <c r="O13" s="133"/>
      <c r="P13" s="133"/>
      <c r="Q13" s="133"/>
      <c r="R13" s="133"/>
      <c r="S13" s="133"/>
      <c r="T13" s="133"/>
      <c r="U13" s="133">
        <f>SUM(U9:U12)</f>
        <v>30</v>
      </c>
      <c r="V13" s="133"/>
      <c r="W13" s="133"/>
      <c r="X13" s="133"/>
      <c r="Y13" s="133"/>
      <c r="Z13" s="133"/>
      <c r="AA13" s="133"/>
      <c r="AB13" s="133">
        <f>SUM(AB9:AB12)</f>
        <v>15</v>
      </c>
      <c r="AC13" s="133"/>
      <c r="AD13" s="133"/>
      <c r="AE13" s="133"/>
      <c r="AF13" s="133"/>
      <c r="AG13" s="134"/>
      <c r="AH13" s="134">
        <f>SUM(AH9:AH12)</f>
        <v>5</v>
      </c>
      <c r="AI13" s="134">
        <f>SUM(AI10:AI12)</f>
        <v>50</v>
      </c>
      <c r="AJ13" s="133"/>
      <c r="AK13" s="133"/>
      <c r="AL13" s="133"/>
      <c r="AM13" s="133"/>
      <c r="AN13" s="133"/>
      <c r="AO13" s="133"/>
      <c r="AP13" s="133"/>
      <c r="AQ13" s="133"/>
      <c r="AR13" s="133"/>
      <c r="AS13" s="135">
        <f>SUM(AS9:AS12)</f>
        <v>149396.1875</v>
      </c>
      <c r="AT13" s="133">
        <f t="shared" ref="AT13" si="13">AJ13+AK13+AL13+AN13+AP13+AR13+AS13</f>
        <v>149396.1875</v>
      </c>
      <c r="AU13" s="133"/>
      <c r="AV13" s="133"/>
      <c r="AW13" s="133"/>
      <c r="AX13" s="133"/>
      <c r="AY13" s="133">
        <f>SUM(AY10:AY12)</f>
        <v>112047.140625</v>
      </c>
      <c r="AZ13" s="133"/>
      <c r="BA13" s="133"/>
      <c r="BB13" s="133"/>
      <c r="BC13" s="135">
        <f>SUM(BC10:BC12)</f>
        <v>261443.328125</v>
      </c>
      <c r="BD13" s="135">
        <f>SUM(BD10:BD12)</f>
        <v>14117.93971875</v>
      </c>
      <c r="BE13" s="133">
        <f>SUM(BE10:BE12)</f>
        <v>8235.4648359375005</v>
      </c>
      <c r="BF13" s="136">
        <f t="shared" ref="BF13" si="14">BC13*1.5%</f>
        <v>3921.649921875</v>
      </c>
      <c r="BG13" s="97"/>
    </row>
    <row r="14" spans="1:59" x14ac:dyDescent="0.25">
      <c r="A14" s="91"/>
      <c r="B14" s="92"/>
      <c r="C14" s="93"/>
      <c r="D14" s="94"/>
      <c r="E14" s="94"/>
      <c r="F14" s="95"/>
      <c r="G14" s="93"/>
      <c r="H14" s="96"/>
      <c r="I14" s="96"/>
      <c r="J14" s="93"/>
      <c r="K14" s="94"/>
      <c r="L14" s="94"/>
      <c r="M14" s="137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138"/>
      <c r="AH14" s="137"/>
      <c r="AI14" s="139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7"/>
    </row>
    <row r="15" spans="1:59" x14ac:dyDescent="0.25">
      <c r="A15" s="91"/>
      <c r="B15" t="s">
        <v>158</v>
      </c>
      <c r="C15" s="13"/>
      <c r="D15" s="142" t="s">
        <v>157</v>
      </c>
      <c r="E15" s="36"/>
      <c r="G15" s="93"/>
      <c r="H15" s="96"/>
      <c r="I15" s="96"/>
      <c r="J15" s="93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7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7"/>
    </row>
    <row r="16" spans="1:59" x14ac:dyDescent="0.25">
      <c r="A16" s="91"/>
      <c r="D16" s="36"/>
      <c r="E16" s="36"/>
      <c r="G16" s="93"/>
      <c r="H16" s="96"/>
      <c r="I16" s="96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7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140"/>
    </row>
    <row r="17" spans="1:56" x14ac:dyDescent="0.25">
      <c r="A17" s="91"/>
      <c r="B17" t="s">
        <v>116</v>
      </c>
      <c r="D17" s="36" t="s">
        <v>128</v>
      </c>
      <c r="E17" s="36"/>
      <c r="F17" s="13"/>
      <c r="G17" s="93"/>
      <c r="H17" s="96"/>
      <c r="I17" s="96"/>
      <c r="J17" s="93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7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7"/>
    </row>
    <row r="18" spans="1:56" x14ac:dyDescent="0.25">
      <c r="A18" s="91"/>
      <c r="D18" s="36"/>
      <c r="E18" s="36"/>
      <c r="F18" s="13"/>
      <c r="G18" s="93"/>
      <c r="H18" s="96"/>
      <c r="I18" s="96"/>
      <c r="J18" s="93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7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7"/>
      <c r="BD18" s="141"/>
    </row>
    <row r="19" spans="1:56" x14ac:dyDescent="0.25">
      <c r="A19" s="91"/>
      <c r="B19" t="s">
        <v>205</v>
      </c>
      <c r="D19" s="180" t="s">
        <v>86</v>
      </c>
      <c r="E19" s="36"/>
      <c r="F19" s="13"/>
      <c r="G19" s="93"/>
      <c r="H19" s="96"/>
      <c r="I19" s="96"/>
      <c r="J19" s="93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7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BC19" s="97"/>
    </row>
    <row r="20" spans="1:56" x14ac:dyDescent="0.25">
      <c r="A20" s="91"/>
      <c r="E20" s="36"/>
      <c r="F20" s="13"/>
      <c r="G20" s="93"/>
      <c r="H20" s="96"/>
      <c r="I20" s="96"/>
      <c r="J20" s="93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7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7"/>
    </row>
    <row r="21" spans="1:56" x14ac:dyDescent="0.25">
      <c r="A21" s="91"/>
      <c r="B21" s="92"/>
      <c r="C21" s="93"/>
      <c r="D21" s="94"/>
      <c r="E21" s="94"/>
      <c r="F21" s="95"/>
      <c r="G21" s="93"/>
      <c r="H21" s="96"/>
      <c r="I21" s="96"/>
      <c r="J21" s="93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7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7"/>
    </row>
    <row r="22" spans="1:56" x14ac:dyDescent="0.25">
      <c r="A22" s="91"/>
      <c r="B22" s="92"/>
      <c r="C22" s="93"/>
      <c r="D22" s="94"/>
      <c r="E22" s="94"/>
      <c r="F22" s="95"/>
      <c r="G22" s="93"/>
      <c r="H22" s="96"/>
      <c r="I22" s="96"/>
      <c r="J22" s="93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7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7"/>
    </row>
    <row r="23" spans="1:56" x14ac:dyDescent="0.25">
      <c r="A23" s="91"/>
      <c r="B23" s="92"/>
      <c r="C23" s="93"/>
      <c r="D23" s="94"/>
      <c r="E23" s="94"/>
      <c r="F23" s="95"/>
      <c r="G23" s="93"/>
      <c r="H23" s="96"/>
      <c r="I23" s="96"/>
      <c r="J23" s="93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7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7"/>
    </row>
  </sheetData>
  <mergeCells count="34">
    <mergeCell ref="H6:H8"/>
    <mergeCell ref="A6:A8"/>
    <mergeCell ref="B6:B8"/>
    <mergeCell ref="D6:D8"/>
    <mergeCell ref="E6:E8"/>
    <mergeCell ref="F6:F8"/>
    <mergeCell ref="AT6:AT8"/>
    <mergeCell ref="I6:I8"/>
    <mergeCell ref="K6:K8"/>
    <mergeCell ref="L6:L8"/>
    <mergeCell ref="M6:M8"/>
    <mergeCell ref="N6:N8"/>
    <mergeCell ref="O6:O8"/>
    <mergeCell ref="P6:P8"/>
    <mergeCell ref="Q6:AH6"/>
    <mergeCell ref="AJ6:AL6"/>
    <mergeCell ref="AM6:AR6"/>
    <mergeCell ref="AS6:AS8"/>
    <mergeCell ref="BC6:BC8"/>
    <mergeCell ref="Q7:U7"/>
    <mergeCell ref="V7:AB7"/>
    <mergeCell ref="AC7:AH7"/>
    <mergeCell ref="AM7:AN7"/>
    <mergeCell ref="AO7:AP7"/>
    <mergeCell ref="AQ7:AR7"/>
    <mergeCell ref="AU7:AU8"/>
    <mergeCell ref="AV7:AV8"/>
    <mergeCell ref="AW7:AW8"/>
    <mergeCell ref="AU6:AW6"/>
    <mergeCell ref="AX6:AX8"/>
    <mergeCell ref="AY6:AY8"/>
    <mergeCell ref="AZ6:AZ8"/>
    <mergeCell ref="BA6:BA8"/>
    <mergeCell ref="BB6:BB8"/>
  </mergeCells>
  <pageMargins left="0" right="0" top="0.74803149606299213" bottom="0.74803149606299213" header="0.31496062992125984" footer="0.31496062992125984"/>
  <pageSetup paperSize="9" scale="80" orientation="landscape" verticalDpi="0" copies="1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16"/>
  <sheetViews>
    <sheetView workbookViewId="0">
      <selection activeCell="B16" sqref="B16"/>
    </sheetView>
  </sheetViews>
  <sheetFormatPr defaultRowHeight="15" x14ac:dyDescent="0.25"/>
  <cols>
    <col min="1" max="1" width="5" customWidth="1"/>
    <col min="2" max="2" width="16.5703125" customWidth="1"/>
    <col min="3" max="3" width="9" customWidth="1"/>
    <col min="4" max="5" width="17.7109375" customWidth="1"/>
    <col min="6" max="6" width="8.5703125" customWidth="1"/>
    <col min="7" max="7" width="7.7109375" customWidth="1"/>
    <col min="8" max="8" width="5.140625" customWidth="1"/>
    <col min="9" max="9" width="4.140625" customWidth="1"/>
    <col min="10" max="10" width="4.85546875" customWidth="1"/>
    <col min="11" max="11" width="10.5703125" customWidth="1"/>
    <col min="12" max="12" width="9.7109375" customWidth="1"/>
    <col min="13" max="13" width="10.5703125" customWidth="1"/>
    <col min="14" max="14" width="5.28515625" customWidth="1"/>
    <col min="15" max="15" width="0" hidden="1" customWidth="1"/>
    <col min="16" max="16" width="8.85546875" customWidth="1"/>
    <col min="17" max="17" width="6.42578125" customWidth="1"/>
    <col min="18" max="18" width="4" customWidth="1"/>
    <col min="19" max="19" width="1.7109375" customWidth="1"/>
    <col min="20" max="20" width="1.5703125" customWidth="1"/>
    <col min="21" max="21" width="5" customWidth="1"/>
    <col min="22" max="22" width="5.85546875" customWidth="1"/>
    <col min="23" max="23" width="1.7109375" customWidth="1"/>
    <col min="24" max="24" width="2.7109375" customWidth="1"/>
    <col min="25" max="25" width="4.42578125" customWidth="1"/>
    <col min="26" max="26" width="3.42578125" customWidth="1"/>
    <col min="27" max="27" width="3.85546875" customWidth="1"/>
    <col min="28" max="28" width="5.85546875" customWidth="1"/>
    <col min="29" max="29" width="5.28515625" customWidth="1"/>
    <col min="30" max="31" width="4" customWidth="1"/>
    <col min="32" max="32" width="2.85546875" customWidth="1"/>
    <col min="33" max="33" width="5.28515625" customWidth="1"/>
    <col min="34" max="35" width="7.28515625" customWidth="1"/>
    <col min="36" max="36" width="8.28515625" customWidth="1"/>
    <col min="37" max="37" width="7.7109375" customWidth="1"/>
    <col min="38" max="38" width="5.7109375" customWidth="1"/>
    <col min="39" max="39" width="3.85546875" customWidth="1"/>
    <col min="40" max="40" width="7.42578125" customWidth="1"/>
    <col min="41" max="41" width="4.85546875" customWidth="1"/>
    <col min="42" max="42" width="4.5703125" customWidth="1"/>
    <col min="43" max="43" width="4.28515625" customWidth="1"/>
    <col min="44" max="44" width="3.5703125" customWidth="1"/>
    <col min="45" max="45" width="10.140625" customWidth="1"/>
    <col min="46" max="46" width="9.85546875" customWidth="1"/>
    <col min="47" max="47" width="5.85546875" customWidth="1"/>
    <col min="48" max="48" width="4.7109375" customWidth="1"/>
    <col min="49" max="49" width="6.140625" customWidth="1"/>
    <col min="50" max="51" width="8.42578125" customWidth="1"/>
    <col min="52" max="52" width="4.7109375" customWidth="1"/>
    <col min="53" max="53" width="3.28515625" customWidth="1"/>
    <col min="54" max="54" width="3.42578125" customWidth="1"/>
    <col min="55" max="55" width="11.42578125" customWidth="1"/>
    <col min="56" max="56" width="9.5703125" bestFit="1" customWidth="1"/>
    <col min="57" max="57" width="8.42578125" customWidth="1"/>
    <col min="58" max="58" width="8.5703125" customWidth="1"/>
  </cols>
  <sheetData>
    <row r="2" spans="1:61" x14ac:dyDescent="0.25">
      <c r="A2" s="143"/>
      <c r="B2" s="92"/>
      <c r="C2" s="93"/>
      <c r="D2" s="94"/>
      <c r="E2" s="94"/>
      <c r="F2" s="93"/>
      <c r="G2" s="95"/>
      <c r="H2" s="93"/>
      <c r="I2" s="93"/>
      <c r="J2" s="93"/>
      <c r="K2" s="97" t="s">
        <v>159</v>
      </c>
      <c r="L2" s="97"/>
      <c r="M2" s="97"/>
      <c r="N2" s="97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7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7"/>
    </row>
    <row r="3" spans="1:61" x14ac:dyDescent="0.25">
      <c r="A3" s="143"/>
      <c r="B3" s="92"/>
      <c r="C3" s="93"/>
      <c r="D3" s="94"/>
      <c r="E3" s="94"/>
      <c r="F3" s="93"/>
      <c r="G3" s="95"/>
      <c r="H3" s="93"/>
      <c r="I3" s="93"/>
      <c r="J3" s="93"/>
      <c r="K3" s="97" t="s">
        <v>170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7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7"/>
    </row>
    <row r="4" spans="1:61" x14ac:dyDescent="0.25">
      <c r="A4" s="300"/>
      <c r="B4" s="296" t="s">
        <v>161</v>
      </c>
      <c r="C4" s="98"/>
      <c r="D4" s="283" t="s">
        <v>40</v>
      </c>
      <c r="E4" s="284" t="s">
        <v>41</v>
      </c>
      <c r="F4" s="284" t="s">
        <v>42</v>
      </c>
      <c r="G4" s="144"/>
      <c r="H4" s="284" t="s">
        <v>43</v>
      </c>
      <c r="I4" s="284" t="s">
        <v>99</v>
      </c>
      <c r="J4" s="100"/>
      <c r="K4" s="284" t="s">
        <v>44</v>
      </c>
      <c r="L4" s="288" t="s">
        <v>162</v>
      </c>
      <c r="M4" s="288" t="s">
        <v>171</v>
      </c>
      <c r="N4" s="291" t="s">
        <v>46</v>
      </c>
      <c r="O4" s="291"/>
      <c r="P4" s="291" t="s">
        <v>47</v>
      </c>
      <c r="Q4" s="282" t="s">
        <v>48</v>
      </c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101"/>
      <c r="AJ4" s="282" t="s">
        <v>49</v>
      </c>
      <c r="AK4" s="282"/>
      <c r="AL4" s="282"/>
      <c r="AM4" s="282" t="s">
        <v>50</v>
      </c>
      <c r="AN4" s="282"/>
      <c r="AO4" s="282"/>
      <c r="AP4" s="282"/>
      <c r="AQ4" s="282"/>
      <c r="AR4" s="282"/>
      <c r="AS4" s="291" t="s">
        <v>47</v>
      </c>
      <c r="AT4" s="283" t="s">
        <v>51</v>
      </c>
      <c r="AU4" s="283" t="s">
        <v>52</v>
      </c>
      <c r="AV4" s="283"/>
      <c r="AW4" s="283"/>
      <c r="AX4" s="283" t="s">
        <v>53</v>
      </c>
      <c r="AY4" s="284" t="s">
        <v>199</v>
      </c>
      <c r="AZ4" s="283" t="s">
        <v>164</v>
      </c>
      <c r="BA4" s="284" t="s">
        <v>165</v>
      </c>
      <c r="BB4" s="283" t="s">
        <v>54</v>
      </c>
      <c r="BC4" s="281" t="s">
        <v>166</v>
      </c>
      <c r="BD4" s="1"/>
      <c r="BE4" s="1"/>
      <c r="BF4" s="1"/>
    </row>
    <row r="5" spans="1:61" ht="60" x14ac:dyDescent="0.25">
      <c r="A5" s="301"/>
      <c r="B5" s="297"/>
      <c r="C5" s="102" t="s">
        <v>167</v>
      </c>
      <c r="D5" s="283"/>
      <c r="E5" s="279"/>
      <c r="F5" s="279"/>
      <c r="G5" s="144"/>
      <c r="H5" s="279"/>
      <c r="I5" s="279"/>
      <c r="J5" s="89"/>
      <c r="K5" s="279"/>
      <c r="L5" s="289"/>
      <c r="M5" s="289"/>
      <c r="N5" s="289"/>
      <c r="O5" s="289"/>
      <c r="P5" s="289"/>
      <c r="Q5" s="282" t="s">
        <v>55</v>
      </c>
      <c r="R5" s="282"/>
      <c r="S5" s="282"/>
      <c r="T5" s="282"/>
      <c r="U5" s="282"/>
      <c r="V5" s="282" t="s">
        <v>56</v>
      </c>
      <c r="W5" s="282"/>
      <c r="X5" s="282"/>
      <c r="Y5" s="282"/>
      <c r="Z5" s="282"/>
      <c r="AA5" s="282"/>
      <c r="AB5" s="282"/>
      <c r="AC5" s="282" t="s">
        <v>57</v>
      </c>
      <c r="AD5" s="282"/>
      <c r="AE5" s="282"/>
      <c r="AF5" s="282"/>
      <c r="AG5" s="282"/>
      <c r="AH5" s="282"/>
      <c r="AI5" s="101"/>
      <c r="AJ5" s="103" t="s">
        <v>55</v>
      </c>
      <c r="AK5" s="103" t="s">
        <v>56</v>
      </c>
      <c r="AL5" s="103" t="s">
        <v>57</v>
      </c>
      <c r="AM5" s="282" t="s">
        <v>55</v>
      </c>
      <c r="AN5" s="282"/>
      <c r="AO5" s="282" t="s">
        <v>56</v>
      </c>
      <c r="AP5" s="282"/>
      <c r="AQ5" s="282" t="s">
        <v>57</v>
      </c>
      <c r="AR5" s="282"/>
      <c r="AS5" s="289"/>
      <c r="AT5" s="283"/>
      <c r="AU5" s="283" t="s">
        <v>58</v>
      </c>
      <c r="AV5" s="283" t="s">
        <v>59</v>
      </c>
      <c r="AW5" s="283" t="s">
        <v>60</v>
      </c>
      <c r="AX5" s="283"/>
      <c r="AY5" s="279"/>
      <c r="AZ5" s="283"/>
      <c r="BA5" s="279"/>
      <c r="BB5" s="283"/>
      <c r="BC5" s="281"/>
      <c r="BD5" s="1"/>
      <c r="BE5" s="1"/>
      <c r="BF5" s="1"/>
    </row>
    <row r="6" spans="1:61" ht="45" x14ac:dyDescent="0.25">
      <c r="A6" s="302"/>
      <c r="B6" s="298"/>
      <c r="C6" s="104"/>
      <c r="D6" s="283"/>
      <c r="E6" s="280"/>
      <c r="F6" s="280"/>
      <c r="G6" s="144" t="s">
        <v>168</v>
      </c>
      <c r="H6" s="280"/>
      <c r="I6" s="280"/>
      <c r="J6" s="90"/>
      <c r="K6" s="280"/>
      <c r="L6" s="290"/>
      <c r="M6" s="290"/>
      <c r="N6" s="290"/>
      <c r="O6" s="290"/>
      <c r="P6" s="290"/>
      <c r="Q6" s="105"/>
      <c r="R6" s="105"/>
      <c r="S6" s="105"/>
      <c r="T6" s="105"/>
      <c r="U6" s="105" t="s">
        <v>6</v>
      </c>
      <c r="V6" s="105"/>
      <c r="W6" s="105"/>
      <c r="X6" s="105"/>
      <c r="Y6" s="105"/>
      <c r="Z6" s="105"/>
      <c r="AA6" s="105"/>
      <c r="AB6" s="105" t="s">
        <v>6</v>
      </c>
      <c r="AC6" s="105"/>
      <c r="AD6" s="105"/>
      <c r="AE6" s="105"/>
      <c r="AF6" s="105"/>
      <c r="AG6" s="105"/>
      <c r="AH6" s="105" t="s">
        <v>6</v>
      </c>
      <c r="AI6" s="107"/>
      <c r="AJ6" s="105"/>
      <c r="AK6" s="105"/>
      <c r="AL6" s="105"/>
      <c r="AM6" s="105" t="s">
        <v>61</v>
      </c>
      <c r="AN6" s="106" t="s">
        <v>62</v>
      </c>
      <c r="AO6" s="105" t="s">
        <v>61</v>
      </c>
      <c r="AP6" s="106" t="s">
        <v>62</v>
      </c>
      <c r="AQ6" s="105" t="s">
        <v>61</v>
      </c>
      <c r="AR6" s="106" t="s">
        <v>62</v>
      </c>
      <c r="AS6" s="290"/>
      <c r="AT6" s="283"/>
      <c r="AU6" s="283"/>
      <c r="AV6" s="283"/>
      <c r="AW6" s="283"/>
      <c r="AX6" s="283"/>
      <c r="AY6" s="280"/>
      <c r="AZ6" s="283"/>
      <c r="BA6" s="280"/>
      <c r="BB6" s="283"/>
      <c r="BC6" s="281"/>
      <c r="BD6" s="107">
        <v>121</v>
      </c>
      <c r="BE6" s="107">
        <v>122</v>
      </c>
      <c r="BF6" s="107">
        <v>124</v>
      </c>
    </row>
    <row r="7" spans="1:61" ht="18" x14ac:dyDescent="0.25">
      <c r="A7" s="125"/>
      <c r="B7" s="109"/>
      <c r="C7" s="103"/>
      <c r="D7" s="145">
        <v>44562</v>
      </c>
      <c r="E7" s="105"/>
      <c r="F7" s="103"/>
      <c r="G7" s="111"/>
      <c r="H7" s="103"/>
      <c r="I7" s="103"/>
      <c r="J7" s="103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>
        <f>Q7+R7+S7+T7</f>
        <v>0</v>
      </c>
      <c r="V7" s="105"/>
      <c r="W7" s="105"/>
      <c r="X7" s="105"/>
      <c r="Y7" s="105"/>
      <c r="Z7" s="105"/>
      <c r="AA7" s="105"/>
      <c r="AB7" s="105">
        <f>V7+X7+Y7+Z7+AA7</f>
        <v>0</v>
      </c>
      <c r="AC7" s="105"/>
      <c r="AD7" s="105"/>
      <c r="AE7" s="105"/>
      <c r="AF7" s="105"/>
      <c r="AG7" s="105"/>
      <c r="AH7" s="105">
        <f t="shared" ref="AH7:AH8" si="0">AC7+AE7+AF7+AG7</f>
        <v>0</v>
      </c>
      <c r="AI7" s="107"/>
      <c r="AJ7" s="105">
        <f>(L7+M7+N7)/18*U7</f>
        <v>0</v>
      </c>
      <c r="AK7" s="105">
        <f>(L7+M7+N7)/18*AB7</f>
        <v>0</v>
      </c>
      <c r="AL7" s="113">
        <f>(L7+M7+N7)/18*AH7</f>
        <v>0</v>
      </c>
      <c r="AM7" s="105"/>
      <c r="AN7" s="105"/>
      <c r="AO7" s="105"/>
      <c r="AP7" s="105"/>
      <c r="AQ7" s="105"/>
      <c r="AR7" s="105"/>
      <c r="AS7" s="113"/>
      <c r="AT7" s="113">
        <f t="shared" ref="AT7:AT8" si="1">AJ7+AK7+AL7+AN7+AP7+AR7+AS7</f>
        <v>0</v>
      </c>
      <c r="AU7" s="105"/>
      <c r="AV7" s="105"/>
      <c r="AW7" s="105"/>
      <c r="AX7" s="105"/>
      <c r="AY7" s="105"/>
      <c r="AZ7" s="105"/>
      <c r="BA7" s="105"/>
      <c r="BB7" s="105"/>
      <c r="BC7" s="114"/>
      <c r="BD7" s="1"/>
      <c r="BE7" s="1"/>
      <c r="BF7" s="1"/>
    </row>
    <row r="8" spans="1:61" x14ac:dyDescent="0.25">
      <c r="A8" s="115"/>
      <c r="B8" s="116" t="s">
        <v>15</v>
      </c>
      <c r="C8" s="123"/>
      <c r="D8" s="22" t="s">
        <v>86</v>
      </c>
      <c r="E8" s="49" t="s">
        <v>79</v>
      </c>
      <c r="F8" s="22" t="s">
        <v>65</v>
      </c>
      <c r="G8" s="45" t="s">
        <v>126</v>
      </c>
      <c r="H8" s="43">
        <v>5</v>
      </c>
      <c r="I8" s="22" t="s">
        <v>103</v>
      </c>
      <c r="J8" s="22">
        <v>2.2000000000000002</v>
      </c>
      <c r="K8" s="22">
        <v>83530</v>
      </c>
      <c r="L8" s="118">
        <f t="shared" ref="L8" si="2">K8*125/100</f>
        <v>104412.5</v>
      </c>
      <c r="M8" s="118">
        <f t="shared" ref="M8" si="3">L8*35%</f>
        <v>36544.375</v>
      </c>
      <c r="N8" s="118"/>
      <c r="O8" s="118"/>
      <c r="P8" s="118"/>
      <c r="Q8" s="118">
        <v>4</v>
      </c>
      <c r="R8" s="118"/>
      <c r="S8" s="118"/>
      <c r="T8" s="118"/>
      <c r="U8" s="118">
        <f t="shared" ref="U8" si="4">Q8+R8+S8+T8</f>
        <v>4</v>
      </c>
      <c r="V8" s="118">
        <v>4</v>
      </c>
      <c r="W8" s="118"/>
      <c r="X8" s="118"/>
      <c r="Y8" s="118"/>
      <c r="Z8" s="118"/>
      <c r="AA8" s="118"/>
      <c r="AB8" s="118">
        <f t="shared" ref="AB8" si="5">V8+X8+Y8+Z8+AA8</f>
        <v>4</v>
      </c>
      <c r="AC8" s="118"/>
      <c r="AD8" s="118"/>
      <c r="AE8" s="118"/>
      <c r="AF8" s="118"/>
      <c r="AG8" s="118"/>
      <c r="AH8" s="118">
        <f t="shared" si="0"/>
        <v>0</v>
      </c>
      <c r="AI8" s="119">
        <f t="shared" ref="AI8" si="6">U8+AB8+AH8</f>
        <v>8</v>
      </c>
      <c r="AJ8" s="118"/>
      <c r="AK8" s="118"/>
      <c r="AL8" s="118"/>
      <c r="AM8" s="118"/>
      <c r="AN8" s="118"/>
      <c r="AO8" s="118"/>
      <c r="AP8" s="118"/>
      <c r="AQ8" s="118"/>
      <c r="AR8" s="118"/>
      <c r="AS8" s="120">
        <f>M8/16*U8+M8/16*AB8+M8/16*AH8</f>
        <v>18272.1875</v>
      </c>
      <c r="AT8" s="120">
        <f t="shared" si="1"/>
        <v>18272.1875</v>
      </c>
      <c r="AU8" s="118"/>
      <c r="AV8" s="118"/>
      <c r="AW8" s="118"/>
      <c r="AX8" s="118"/>
      <c r="AY8" s="118">
        <f>AT8*75%</f>
        <v>13704.140625</v>
      </c>
      <c r="AZ8" s="118"/>
      <c r="BA8" s="118"/>
      <c r="BB8" s="118"/>
      <c r="BC8" s="121">
        <f t="shared" ref="BC8" si="7">AT8+AU8+AV8+AW8+AX8+AY8+AZ8+BB8</f>
        <v>31976.328125</v>
      </c>
      <c r="BD8" s="120">
        <f t="shared" ref="BD8" si="8">BC8*90/100*6%</f>
        <v>1726.72171875</v>
      </c>
      <c r="BE8" s="118">
        <f t="shared" ref="BE8" si="9">BC8*90/100*3.5%</f>
        <v>1007.2543359375001</v>
      </c>
      <c r="BF8" s="118">
        <f t="shared" ref="BF8" si="10">BC8*1.5%</f>
        <v>479.64492187499997</v>
      </c>
      <c r="BG8" s="48"/>
      <c r="BH8" s="48"/>
      <c r="BI8" s="48"/>
    </row>
    <row r="9" spans="1:61" x14ac:dyDescent="0.25">
      <c r="A9" s="115"/>
      <c r="B9" s="116" t="s">
        <v>15</v>
      </c>
      <c r="C9" s="123"/>
      <c r="D9" s="22" t="s">
        <v>82</v>
      </c>
      <c r="E9" s="22" t="s">
        <v>122</v>
      </c>
      <c r="F9" s="22" t="s">
        <v>102</v>
      </c>
      <c r="G9" s="45" t="s">
        <v>126</v>
      </c>
      <c r="H9" s="43">
        <v>10</v>
      </c>
      <c r="I9" s="22" t="s">
        <v>103</v>
      </c>
      <c r="J9" s="45">
        <v>2.2000000000000002</v>
      </c>
      <c r="K9" s="22">
        <v>86007</v>
      </c>
      <c r="L9" s="118">
        <f t="shared" ref="L9" si="11">K9*125/100</f>
        <v>107508.75</v>
      </c>
      <c r="M9" s="118">
        <f t="shared" ref="M9" si="12">L9*35%</f>
        <v>37628.0625</v>
      </c>
      <c r="N9" s="118"/>
      <c r="O9" s="118"/>
      <c r="P9" s="118"/>
      <c r="Q9" s="118">
        <v>24</v>
      </c>
      <c r="R9" s="118"/>
      <c r="S9" s="118"/>
      <c r="T9" s="118"/>
      <c r="U9" s="118">
        <f t="shared" ref="U9" si="13">Q9+R9+S9+T9</f>
        <v>24</v>
      </c>
      <c r="V9" s="118"/>
      <c r="W9" s="118"/>
      <c r="X9" s="118"/>
      <c r="Y9" s="118"/>
      <c r="Z9" s="118"/>
      <c r="AA9" s="118"/>
      <c r="AB9" s="118">
        <f t="shared" ref="AB9" si="14">V9+X9+Y9+Z9+AA9</f>
        <v>0</v>
      </c>
      <c r="AC9" s="118"/>
      <c r="AD9" s="118"/>
      <c r="AE9" s="118"/>
      <c r="AF9" s="118"/>
      <c r="AG9" s="118"/>
      <c r="AH9" s="118">
        <f t="shared" ref="AH9" si="15">AC9+AE9+AF9+AG9</f>
        <v>0</v>
      </c>
      <c r="AI9" s="119">
        <f t="shared" ref="AI9" si="16">U9+AB9+AH9</f>
        <v>24</v>
      </c>
      <c r="AJ9" s="118"/>
      <c r="AK9" s="118"/>
      <c r="AL9" s="118"/>
      <c r="AM9" s="118"/>
      <c r="AN9" s="118"/>
      <c r="AO9" s="118"/>
      <c r="AP9" s="118"/>
      <c r="AQ9" s="118"/>
      <c r="AR9" s="118"/>
      <c r="AS9" s="120">
        <f>M9/16*U9+M9/16*AB9+M9/16*AH9</f>
        <v>56442.09375</v>
      </c>
      <c r="AT9" s="120">
        <f t="shared" ref="AT9" si="17">AJ9+AK9+AL9+AN9+AP9+AR9+AS9</f>
        <v>56442.09375</v>
      </c>
      <c r="AU9" s="118"/>
      <c r="AV9" s="118"/>
      <c r="AW9" s="118"/>
      <c r="AX9" s="118"/>
      <c r="AY9" s="118">
        <f>AT9*75%</f>
        <v>42331.5703125</v>
      </c>
      <c r="AZ9" s="118"/>
      <c r="BA9" s="118"/>
      <c r="BB9" s="118"/>
      <c r="BC9" s="121">
        <f t="shared" ref="BC9" si="18">AT9+AU9+AV9+AW9+AX9+AY9+AZ9+BB9</f>
        <v>98773.6640625</v>
      </c>
      <c r="BD9" s="120">
        <f t="shared" ref="BD9" si="19">BC9*90/100*6%</f>
        <v>5333.7778593749999</v>
      </c>
      <c r="BE9" s="118">
        <f t="shared" ref="BE9" si="20">BC9*90/100*3.5%</f>
        <v>3111.3704179687502</v>
      </c>
      <c r="BF9" s="118">
        <f t="shared" ref="BF9" si="21">BC9*1.5%</f>
        <v>1481.6049609375</v>
      </c>
      <c r="BG9" s="48"/>
      <c r="BH9" s="48"/>
      <c r="BI9" s="48"/>
    </row>
    <row r="10" spans="1:61" x14ac:dyDescent="0.25">
      <c r="A10" s="126"/>
      <c r="B10" s="127" t="s">
        <v>119</v>
      </c>
      <c r="C10" s="128"/>
      <c r="D10" s="129"/>
      <c r="E10" s="129"/>
      <c r="F10" s="128"/>
      <c r="G10" s="130"/>
      <c r="H10" s="128"/>
      <c r="I10" s="128"/>
      <c r="J10" s="132"/>
      <c r="K10" s="133">
        <f>SUM(K9:K9)</f>
        <v>86007</v>
      </c>
      <c r="L10" s="133">
        <f>SUM(L7:L9)</f>
        <v>211921.25</v>
      </c>
      <c r="M10" s="133">
        <f>SUM(M9:M9)</f>
        <v>37628.0625</v>
      </c>
      <c r="N10" s="133"/>
      <c r="O10" s="133"/>
      <c r="P10" s="133"/>
      <c r="Q10" s="133"/>
      <c r="R10" s="133"/>
      <c r="S10" s="133"/>
      <c r="T10" s="133"/>
      <c r="U10" s="133">
        <f>SUM(U6:U9)</f>
        <v>28</v>
      </c>
      <c r="V10" s="133"/>
      <c r="W10" s="133"/>
      <c r="X10" s="133"/>
      <c r="Y10" s="133"/>
      <c r="Z10" s="133"/>
      <c r="AA10" s="133"/>
      <c r="AB10" s="133">
        <f>SUM(AB6:AB9)</f>
        <v>4</v>
      </c>
      <c r="AC10" s="133"/>
      <c r="AD10" s="133"/>
      <c r="AE10" s="133"/>
      <c r="AF10" s="133"/>
      <c r="AG10" s="134"/>
      <c r="AH10" s="134">
        <f>SUM(AH6:AH9)</f>
        <v>0</v>
      </c>
      <c r="AI10" s="134">
        <f>SUM(AI6:AI9)</f>
        <v>32</v>
      </c>
      <c r="AJ10" s="133"/>
      <c r="AK10" s="133"/>
      <c r="AL10" s="133"/>
      <c r="AM10" s="133"/>
      <c r="AN10" s="133"/>
      <c r="AO10" s="133"/>
      <c r="AP10" s="133"/>
      <c r="AQ10" s="133"/>
      <c r="AR10" s="133"/>
      <c r="AS10" s="135">
        <f>SUM(AS6:AS9)</f>
        <v>74714.28125</v>
      </c>
      <c r="AT10" s="133">
        <f>AJ10+AK10+AL10+AN10+AP10+AR10+AS10</f>
        <v>74714.28125</v>
      </c>
      <c r="AU10" s="133"/>
      <c r="AV10" s="133"/>
      <c r="AW10" s="133"/>
      <c r="AX10" s="133"/>
      <c r="AY10" s="133">
        <f>SUM(AY9:AY9)</f>
        <v>42331.5703125</v>
      </c>
      <c r="AZ10" s="133"/>
      <c r="BA10" s="133"/>
      <c r="BB10" s="133"/>
      <c r="BC10" s="135">
        <f>SUM(BC9:BC9)</f>
        <v>98773.6640625</v>
      </c>
      <c r="BD10" s="135">
        <f>SUM(BD9:BD9)</f>
        <v>5333.7778593749999</v>
      </c>
      <c r="BE10" s="133">
        <f>SUM(BE9:BE9)</f>
        <v>3111.3704179687502</v>
      </c>
      <c r="BF10" s="133">
        <f>SUM(BF9:BF9)</f>
        <v>1481.6049609375</v>
      </c>
    </row>
    <row r="11" spans="1:61" x14ac:dyDescent="0.25">
      <c r="A11" s="143"/>
      <c r="B11" s="92"/>
      <c r="C11" s="93"/>
      <c r="D11" s="94"/>
      <c r="E11" s="94"/>
      <c r="F11" s="93"/>
      <c r="G11" s="95"/>
      <c r="H11" s="93"/>
      <c r="I11" s="93"/>
      <c r="J11" s="93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7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7"/>
    </row>
    <row r="12" spans="1:61" x14ac:dyDescent="0.25">
      <c r="A12" s="143"/>
      <c r="B12" t="s">
        <v>158</v>
      </c>
      <c r="C12" s="13"/>
      <c r="E12" s="142" t="s">
        <v>157</v>
      </c>
      <c r="F12" s="93"/>
      <c r="G12" s="95"/>
      <c r="H12" s="93"/>
      <c r="I12" s="93"/>
      <c r="J12" s="93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7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7"/>
    </row>
    <row r="13" spans="1:61" x14ac:dyDescent="0.25">
      <c r="A13" s="143"/>
      <c r="E13" s="36"/>
      <c r="F13" s="93"/>
      <c r="G13" s="95"/>
      <c r="H13" s="93"/>
      <c r="I13" s="93"/>
      <c r="J13" s="93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7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7"/>
    </row>
    <row r="14" spans="1:61" x14ac:dyDescent="0.25">
      <c r="A14" s="143"/>
      <c r="B14" t="s">
        <v>116</v>
      </c>
      <c r="E14" s="36" t="s">
        <v>128</v>
      </c>
      <c r="F14" s="93"/>
      <c r="G14" s="95"/>
      <c r="H14" s="93"/>
      <c r="I14" s="93"/>
      <c r="J14" s="93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7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7"/>
    </row>
    <row r="15" spans="1:61" x14ac:dyDescent="0.25">
      <c r="A15" s="143"/>
      <c r="E15" s="36"/>
      <c r="F15" s="93"/>
      <c r="G15" s="95"/>
      <c r="H15" s="93"/>
      <c r="I15" s="93"/>
      <c r="J15" s="93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7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7"/>
    </row>
    <row r="16" spans="1:61" x14ac:dyDescent="0.25">
      <c r="A16" s="143"/>
      <c r="B16" t="s">
        <v>205</v>
      </c>
      <c r="D16" s="180"/>
      <c r="E16" s="180" t="s">
        <v>86</v>
      </c>
      <c r="G16" s="95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7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7"/>
    </row>
  </sheetData>
  <mergeCells count="34">
    <mergeCell ref="H4:H6"/>
    <mergeCell ref="A4:A6"/>
    <mergeCell ref="B4:B6"/>
    <mergeCell ref="D4:D6"/>
    <mergeCell ref="E4:E6"/>
    <mergeCell ref="F4:F6"/>
    <mergeCell ref="AT4:AT6"/>
    <mergeCell ref="I4:I6"/>
    <mergeCell ref="K4:K6"/>
    <mergeCell ref="L4:L6"/>
    <mergeCell ref="M4:M6"/>
    <mergeCell ref="N4:N6"/>
    <mergeCell ref="O4:O6"/>
    <mergeCell ref="P4:P6"/>
    <mergeCell ref="Q4:AH4"/>
    <mergeCell ref="AJ4:AL4"/>
    <mergeCell ref="AM4:AR4"/>
    <mergeCell ref="AS4:AS6"/>
    <mergeCell ref="BC4:BC6"/>
    <mergeCell ref="Q5:U5"/>
    <mergeCell ref="V5:AB5"/>
    <mergeCell ref="AC5:AH5"/>
    <mergeCell ref="AM5:AN5"/>
    <mergeCell ref="AO5:AP5"/>
    <mergeCell ref="AQ5:AR5"/>
    <mergeCell ref="AU5:AU6"/>
    <mergeCell ref="AV5:AV6"/>
    <mergeCell ref="AW5:AW6"/>
    <mergeCell ref="AU4:AW4"/>
    <mergeCell ref="AX4:AX6"/>
    <mergeCell ref="AY4:AY6"/>
    <mergeCell ref="AZ4:AZ6"/>
    <mergeCell ref="BA4:BA6"/>
    <mergeCell ref="BB4:BB6"/>
  </mergeCells>
  <pageMargins left="0" right="0" top="0.74803149606299213" bottom="0.74803149606299213" header="0.31496062992125984" footer="0.31496062992125984"/>
  <pageSetup paperSize="9" scale="75" orientation="landscape" verticalDpi="0" copies="1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17"/>
  <sheetViews>
    <sheetView topLeftCell="Q1" workbookViewId="0">
      <selection activeCell="A2" sqref="A2:BG19"/>
    </sheetView>
  </sheetViews>
  <sheetFormatPr defaultRowHeight="15" x14ac:dyDescent="0.25"/>
  <cols>
    <col min="1" max="1" width="5" customWidth="1"/>
    <col min="2" max="2" width="15.5703125" customWidth="1"/>
    <col min="3" max="3" width="8" customWidth="1"/>
    <col min="4" max="5" width="18.7109375" customWidth="1"/>
    <col min="6" max="6" width="8.5703125" customWidth="1"/>
    <col min="7" max="7" width="7.42578125" customWidth="1"/>
    <col min="8" max="8" width="5.140625" customWidth="1"/>
    <col min="9" max="9" width="4.140625" customWidth="1"/>
    <col min="10" max="10" width="4.85546875" customWidth="1"/>
    <col min="11" max="11" width="9.28515625" customWidth="1"/>
    <col min="12" max="12" width="9.7109375" customWidth="1"/>
    <col min="13" max="13" width="10.5703125" customWidth="1"/>
    <col min="14" max="14" width="5.28515625" customWidth="1"/>
    <col min="15" max="15" width="0" hidden="1" customWidth="1"/>
    <col min="16" max="16" width="9" customWidth="1"/>
    <col min="17" max="17" width="6.42578125" customWidth="1"/>
    <col min="18" max="18" width="6.5703125" customWidth="1"/>
    <col min="19" max="19" width="3.28515625" customWidth="1"/>
    <col min="20" max="20" width="4" customWidth="1"/>
    <col min="21" max="21" width="8.42578125" customWidth="1"/>
    <col min="22" max="22" width="5.85546875" customWidth="1"/>
    <col min="23" max="23" width="2.85546875" customWidth="1"/>
    <col min="24" max="24" width="2.7109375" customWidth="1"/>
    <col min="25" max="25" width="4.42578125" customWidth="1"/>
    <col min="26" max="26" width="3.42578125" customWidth="1"/>
    <col min="27" max="27" width="3.85546875" customWidth="1"/>
    <col min="28" max="28" width="5.85546875" customWidth="1"/>
    <col min="29" max="29" width="5.28515625" customWidth="1"/>
    <col min="30" max="31" width="4" customWidth="1"/>
    <col min="32" max="32" width="2.85546875" customWidth="1"/>
    <col min="33" max="33" width="5.28515625" customWidth="1"/>
    <col min="34" max="35" width="7.28515625" customWidth="1"/>
    <col min="36" max="36" width="8.28515625" customWidth="1"/>
    <col min="37" max="37" width="7.7109375" customWidth="1"/>
    <col min="38" max="38" width="7" customWidth="1"/>
    <col min="39" max="39" width="3.85546875" customWidth="1"/>
    <col min="40" max="40" width="7.42578125" customWidth="1"/>
    <col min="41" max="41" width="4.85546875" customWidth="1"/>
    <col min="42" max="42" width="4.5703125" customWidth="1"/>
    <col min="43" max="43" width="4.28515625" customWidth="1"/>
    <col min="44" max="44" width="3.5703125" customWidth="1"/>
    <col min="45" max="45" width="10.140625" customWidth="1"/>
    <col min="46" max="46" width="9.85546875" customWidth="1"/>
    <col min="47" max="47" width="5.85546875" customWidth="1"/>
    <col min="48" max="48" width="4.7109375" customWidth="1"/>
    <col min="49" max="49" width="6.140625" customWidth="1"/>
    <col min="50" max="50" width="7.42578125" customWidth="1"/>
    <col min="51" max="51" width="8.28515625" customWidth="1"/>
    <col min="52" max="52" width="4.7109375" customWidth="1"/>
    <col min="53" max="53" width="3.28515625" customWidth="1"/>
    <col min="54" max="54" width="5.28515625" customWidth="1"/>
    <col min="55" max="55" width="12.7109375" customWidth="1"/>
    <col min="57" max="57" width="8.5703125" customWidth="1"/>
    <col min="58" max="58" width="6.5703125" customWidth="1"/>
  </cols>
  <sheetData>
    <row r="2" spans="1:59" x14ac:dyDescent="0.25">
      <c r="A2" s="143"/>
      <c r="B2" s="92"/>
      <c r="C2" s="93"/>
      <c r="D2" s="94"/>
      <c r="E2" s="94"/>
      <c r="F2" s="96"/>
      <c r="G2" s="146"/>
      <c r="H2" s="93"/>
      <c r="I2" s="95"/>
      <c r="J2" s="92"/>
      <c r="K2" s="97" t="s">
        <v>159</v>
      </c>
      <c r="L2" s="97"/>
      <c r="M2" s="97"/>
      <c r="N2" s="97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122"/>
      <c r="AC2" s="94"/>
      <c r="AD2" s="94"/>
      <c r="AE2" s="94"/>
      <c r="AF2" s="94"/>
      <c r="AG2" s="94"/>
      <c r="AH2" s="94"/>
      <c r="AI2" s="97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7"/>
    </row>
    <row r="3" spans="1:59" x14ac:dyDescent="0.25">
      <c r="A3" s="143"/>
      <c r="B3" s="92"/>
      <c r="C3" s="93"/>
      <c r="D3" s="94"/>
      <c r="E3" s="94"/>
      <c r="F3" s="96"/>
      <c r="G3" s="146"/>
      <c r="H3" s="93"/>
      <c r="I3" s="95"/>
      <c r="J3" s="92"/>
      <c r="K3" s="97" t="s">
        <v>172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22"/>
      <c r="AC3" s="94"/>
      <c r="AD3" s="94"/>
      <c r="AE3" s="94"/>
      <c r="AF3" s="94"/>
      <c r="AG3" s="94"/>
      <c r="AH3" s="94"/>
      <c r="AI3" s="97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7"/>
    </row>
    <row r="4" spans="1:59" x14ac:dyDescent="0.25">
      <c r="A4" s="300"/>
      <c r="B4" s="296" t="s">
        <v>161</v>
      </c>
      <c r="C4" s="98"/>
      <c r="D4" s="283" t="s">
        <v>40</v>
      </c>
      <c r="E4" s="283" t="s">
        <v>41</v>
      </c>
      <c r="F4" s="292" t="s">
        <v>42</v>
      </c>
      <c r="G4" s="147"/>
      <c r="H4" s="283" t="s">
        <v>43</v>
      </c>
      <c r="I4" s="303" t="s">
        <v>99</v>
      </c>
      <c r="J4" s="148"/>
      <c r="K4" s="284" t="s">
        <v>44</v>
      </c>
      <c r="L4" s="288" t="s">
        <v>162</v>
      </c>
      <c r="M4" s="288" t="s">
        <v>173</v>
      </c>
      <c r="N4" s="291" t="s">
        <v>46</v>
      </c>
      <c r="O4" s="291"/>
      <c r="P4" s="291" t="s">
        <v>47</v>
      </c>
      <c r="Q4" s="282" t="s">
        <v>48</v>
      </c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101"/>
      <c r="AJ4" s="282" t="s">
        <v>49</v>
      </c>
      <c r="AK4" s="282"/>
      <c r="AL4" s="282"/>
      <c r="AM4" s="282" t="s">
        <v>50</v>
      </c>
      <c r="AN4" s="282"/>
      <c r="AO4" s="282"/>
      <c r="AP4" s="282"/>
      <c r="AQ4" s="282"/>
      <c r="AR4" s="282"/>
      <c r="AS4" s="291" t="s">
        <v>47</v>
      </c>
      <c r="AT4" s="283" t="s">
        <v>51</v>
      </c>
      <c r="AU4" s="283" t="s">
        <v>52</v>
      </c>
      <c r="AV4" s="283"/>
      <c r="AW4" s="283"/>
      <c r="AX4" s="283" t="s">
        <v>53</v>
      </c>
      <c r="AY4" s="284" t="s">
        <v>200</v>
      </c>
      <c r="AZ4" s="283" t="s">
        <v>164</v>
      </c>
      <c r="BA4" s="284" t="s">
        <v>165</v>
      </c>
      <c r="BB4" s="283" t="s">
        <v>54</v>
      </c>
      <c r="BC4" s="281" t="s">
        <v>166</v>
      </c>
      <c r="BD4" s="1"/>
      <c r="BE4" s="1"/>
      <c r="BF4" s="1"/>
    </row>
    <row r="5" spans="1:59" ht="60" x14ac:dyDescent="0.25">
      <c r="A5" s="301"/>
      <c r="B5" s="297"/>
      <c r="C5" s="102" t="s">
        <v>167</v>
      </c>
      <c r="D5" s="283"/>
      <c r="E5" s="283"/>
      <c r="F5" s="292"/>
      <c r="G5" s="147"/>
      <c r="H5" s="283"/>
      <c r="I5" s="304"/>
      <c r="J5" s="149"/>
      <c r="K5" s="279"/>
      <c r="L5" s="289"/>
      <c r="M5" s="289"/>
      <c r="N5" s="289"/>
      <c r="O5" s="289"/>
      <c r="P5" s="289"/>
      <c r="Q5" s="282" t="s">
        <v>55</v>
      </c>
      <c r="R5" s="282"/>
      <c r="S5" s="282"/>
      <c r="T5" s="282"/>
      <c r="U5" s="282"/>
      <c r="V5" s="282" t="s">
        <v>56</v>
      </c>
      <c r="W5" s="282"/>
      <c r="X5" s="282"/>
      <c r="Y5" s="282"/>
      <c r="Z5" s="282"/>
      <c r="AA5" s="282"/>
      <c r="AB5" s="282"/>
      <c r="AC5" s="282" t="s">
        <v>57</v>
      </c>
      <c r="AD5" s="282"/>
      <c r="AE5" s="282"/>
      <c r="AF5" s="282"/>
      <c r="AG5" s="282"/>
      <c r="AH5" s="282"/>
      <c r="AI5" s="101"/>
      <c r="AJ5" s="103" t="s">
        <v>55</v>
      </c>
      <c r="AK5" s="103" t="s">
        <v>56</v>
      </c>
      <c r="AL5" s="103" t="s">
        <v>57</v>
      </c>
      <c r="AM5" s="282" t="s">
        <v>55</v>
      </c>
      <c r="AN5" s="282"/>
      <c r="AO5" s="282" t="s">
        <v>56</v>
      </c>
      <c r="AP5" s="282"/>
      <c r="AQ5" s="282" t="s">
        <v>57</v>
      </c>
      <c r="AR5" s="282"/>
      <c r="AS5" s="289"/>
      <c r="AT5" s="283"/>
      <c r="AU5" s="283" t="s">
        <v>58</v>
      </c>
      <c r="AV5" s="283" t="s">
        <v>59</v>
      </c>
      <c r="AW5" s="283" t="s">
        <v>60</v>
      </c>
      <c r="AX5" s="283"/>
      <c r="AY5" s="279"/>
      <c r="AZ5" s="283"/>
      <c r="BA5" s="279"/>
      <c r="BB5" s="283"/>
      <c r="BC5" s="281"/>
      <c r="BD5" s="1"/>
      <c r="BE5" s="1"/>
      <c r="BF5" s="1"/>
    </row>
    <row r="6" spans="1:59" ht="45" x14ac:dyDescent="0.25">
      <c r="A6" s="302"/>
      <c r="B6" s="298"/>
      <c r="C6" s="104"/>
      <c r="D6" s="283"/>
      <c r="E6" s="283"/>
      <c r="F6" s="292"/>
      <c r="G6" s="147" t="s">
        <v>168</v>
      </c>
      <c r="H6" s="283"/>
      <c r="I6" s="305"/>
      <c r="J6" s="150"/>
      <c r="K6" s="280"/>
      <c r="L6" s="290"/>
      <c r="M6" s="290"/>
      <c r="N6" s="290"/>
      <c r="O6" s="290"/>
      <c r="P6" s="290"/>
      <c r="Q6" s="105"/>
      <c r="R6" s="105"/>
      <c r="S6" s="105"/>
      <c r="T6" s="105"/>
      <c r="U6" s="105" t="s">
        <v>6</v>
      </c>
      <c r="V6" s="105"/>
      <c r="W6" s="105"/>
      <c r="X6" s="105"/>
      <c r="Y6" s="105"/>
      <c r="Z6" s="105"/>
      <c r="AA6" s="105"/>
      <c r="AB6" s="118" t="s">
        <v>6</v>
      </c>
      <c r="AC6" s="105"/>
      <c r="AD6" s="105"/>
      <c r="AE6" s="105"/>
      <c r="AF6" s="105"/>
      <c r="AG6" s="105"/>
      <c r="AH6" s="105" t="s">
        <v>6</v>
      </c>
      <c r="AI6" s="107"/>
      <c r="AJ6" s="105"/>
      <c r="AK6" s="105"/>
      <c r="AL6" s="105"/>
      <c r="AM6" s="105" t="s">
        <v>61</v>
      </c>
      <c r="AN6" s="106" t="s">
        <v>62</v>
      </c>
      <c r="AO6" s="105" t="s">
        <v>61</v>
      </c>
      <c r="AP6" s="106" t="s">
        <v>62</v>
      </c>
      <c r="AQ6" s="105" t="s">
        <v>61</v>
      </c>
      <c r="AR6" s="106" t="s">
        <v>62</v>
      </c>
      <c r="AS6" s="290"/>
      <c r="AT6" s="283"/>
      <c r="AU6" s="283"/>
      <c r="AV6" s="283"/>
      <c r="AW6" s="283"/>
      <c r="AX6" s="283"/>
      <c r="AY6" s="280"/>
      <c r="AZ6" s="283"/>
      <c r="BA6" s="280"/>
      <c r="BB6" s="283"/>
      <c r="BC6" s="281"/>
      <c r="BD6" s="107">
        <v>121</v>
      </c>
      <c r="BE6" s="107">
        <v>122</v>
      </c>
      <c r="BF6" s="107">
        <v>124</v>
      </c>
    </row>
    <row r="7" spans="1:59" ht="18" x14ac:dyDescent="0.25">
      <c r="A7" s="125"/>
      <c r="B7" s="109"/>
      <c r="C7" s="103"/>
      <c r="D7" s="145">
        <v>44562</v>
      </c>
      <c r="E7" s="105"/>
      <c r="F7" s="112"/>
      <c r="G7" s="123"/>
      <c r="H7" s="103"/>
      <c r="I7" s="111"/>
      <c r="J7" s="109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18"/>
      <c r="AC7" s="105"/>
      <c r="AD7" s="105"/>
      <c r="AE7" s="105"/>
      <c r="AF7" s="105"/>
      <c r="AG7" s="105"/>
      <c r="AH7" s="105"/>
      <c r="AI7" s="107"/>
      <c r="AJ7" s="105"/>
      <c r="AK7" s="105"/>
      <c r="AL7" s="113"/>
      <c r="AM7" s="105"/>
      <c r="AN7" s="105"/>
      <c r="AO7" s="105"/>
      <c r="AP7" s="105"/>
      <c r="AQ7" s="105"/>
      <c r="AR7" s="105"/>
      <c r="AS7" s="113"/>
      <c r="AT7" s="113"/>
      <c r="AU7" s="105"/>
      <c r="AV7" s="105"/>
      <c r="AW7" s="105"/>
      <c r="AX7" s="105"/>
      <c r="AY7" s="105"/>
      <c r="AZ7" s="105"/>
      <c r="BA7" s="105"/>
      <c r="BB7" s="105"/>
      <c r="BC7" s="114"/>
      <c r="BD7" s="1"/>
      <c r="BE7" s="1"/>
      <c r="BF7" s="1"/>
    </row>
    <row r="8" spans="1:59" x14ac:dyDescent="0.25">
      <c r="A8" s="125"/>
      <c r="B8" s="116" t="s">
        <v>15</v>
      </c>
      <c r="C8" s="165"/>
      <c r="D8" s="169" t="s">
        <v>177</v>
      </c>
      <c r="E8" s="166" t="s">
        <v>190</v>
      </c>
      <c r="F8" s="166" t="s">
        <v>65</v>
      </c>
      <c r="G8" s="32" t="s">
        <v>132</v>
      </c>
      <c r="H8" s="168">
        <v>5</v>
      </c>
      <c r="I8" s="170" t="s">
        <v>103</v>
      </c>
      <c r="J8" s="171">
        <v>2.2999999999999998</v>
      </c>
      <c r="K8" s="167">
        <v>82468</v>
      </c>
      <c r="L8" s="118">
        <f t="shared" ref="L8:L10" si="0">K8*125/100</f>
        <v>103085</v>
      </c>
      <c r="M8" s="118">
        <f t="shared" ref="M8:M10" si="1">L8*30%</f>
        <v>30925.5</v>
      </c>
      <c r="N8" s="105"/>
      <c r="O8" s="105"/>
      <c r="P8" s="105"/>
      <c r="Q8" s="105"/>
      <c r="R8" s="105"/>
      <c r="S8" s="105"/>
      <c r="T8" s="105"/>
      <c r="U8" s="118">
        <f t="shared" ref="U8:U10" si="2">Q8+R8+S8+T8</f>
        <v>0</v>
      </c>
      <c r="V8" s="105">
        <v>5</v>
      </c>
      <c r="W8" s="105"/>
      <c r="X8" s="105"/>
      <c r="Y8" s="105"/>
      <c r="Z8" s="105"/>
      <c r="AA8" s="105"/>
      <c r="AB8" s="118">
        <f t="shared" ref="AB8:AB10" si="3">V8+W8+X8+Y8+Z8</f>
        <v>5</v>
      </c>
      <c r="AC8" s="105"/>
      <c r="AD8" s="105"/>
      <c r="AE8" s="105"/>
      <c r="AF8" s="105"/>
      <c r="AG8" s="105"/>
      <c r="AH8" s="118">
        <f t="shared" ref="AH8:AH10" si="4">AC8+AE8+AF8+AG8</f>
        <v>0</v>
      </c>
      <c r="AI8" s="119">
        <f t="shared" ref="AI8:AI10" si="5">U8+AB8+AH8</f>
        <v>5</v>
      </c>
      <c r="AJ8" s="105"/>
      <c r="AK8" s="105"/>
      <c r="AL8" s="113"/>
      <c r="AM8" s="105"/>
      <c r="AN8" s="105"/>
      <c r="AO8" s="105"/>
      <c r="AP8" s="105"/>
      <c r="AQ8" s="105"/>
      <c r="AR8" s="105"/>
      <c r="AS8" s="120">
        <f>M8/16*U8+M8/16*AB8+M8/16*AH8</f>
        <v>9664.21875</v>
      </c>
      <c r="AT8" s="120">
        <f t="shared" ref="AT8:AT10" si="6">AJ8+AK8+AL8+AN8+AP8+AR8+AS8</f>
        <v>9664.21875</v>
      </c>
      <c r="AU8" s="105"/>
      <c r="AV8" s="105"/>
      <c r="AW8" s="105"/>
      <c r="AX8" s="105"/>
      <c r="AY8" s="118">
        <f>AT8*75%</f>
        <v>7248.1640625</v>
      </c>
      <c r="AZ8" s="105"/>
      <c r="BA8" s="105"/>
      <c r="BB8" s="105"/>
      <c r="BC8" s="121">
        <f>AT8+AY8</f>
        <v>16912.3828125</v>
      </c>
      <c r="BD8" s="120">
        <f t="shared" ref="BD8:BD10" si="7">BC8*90/100*6%</f>
        <v>913.268671875</v>
      </c>
      <c r="BE8" s="118">
        <f t="shared" ref="BE8:BE10" si="8">BC8*90/100*3.5%</f>
        <v>532.74005859375006</v>
      </c>
      <c r="BF8" s="118">
        <f t="shared" ref="BF8:BF10" si="9">BC8*1.5%</f>
        <v>253.68574218749998</v>
      </c>
    </row>
    <row r="9" spans="1:59" s="200" customFormat="1" x14ac:dyDescent="0.25">
      <c r="A9" s="189"/>
      <c r="B9" s="190" t="s">
        <v>15</v>
      </c>
      <c r="C9" s="191"/>
      <c r="D9" s="192" t="s">
        <v>145</v>
      </c>
      <c r="E9" s="192" t="s">
        <v>175</v>
      </c>
      <c r="F9" s="193" t="s">
        <v>65</v>
      </c>
      <c r="G9" s="193" t="s">
        <v>132</v>
      </c>
      <c r="H9" s="193">
        <v>10</v>
      </c>
      <c r="I9" s="194" t="s">
        <v>103</v>
      </c>
      <c r="J9" s="195">
        <v>2.2999999999999998</v>
      </c>
      <c r="K9" s="196">
        <v>85123</v>
      </c>
      <c r="L9" s="197">
        <f t="shared" si="0"/>
        <v>106403.75</v>
      </c>
      <c r="M9" s="197">
        <f t="shared" si="1"/>
        <v>31921.125</v>
      </c>
      <c r="N9" s="197"/>
      <c r="O9" s="197"/>
      <c r="P9" s="197"/>
      <c r="Q9" s="197"/>
      <c r="R9" s="197"/>
      <c r="S9" s="197"/>
      <c r="T9" s="197"/>
      <c r="U9" s="197">
        <f t="shared" si="2"/>
        <v>0</v>
      </c>
      <c r="V9" s="197"/>
      <c r="W9" s="197"/>
      <c r="X9" s="197"/>
      <c r="Y9" s="197"/>
      <c r="Z9" s="197"/>
      <c r="AA9" s="197"/>
      <c r="AB9" s="197">
        <f t="shared" si="3"/>
        <v>0</v>
      </c>
      <c r="AC9" s="197"/>
      <c r="AD9" s="197"/>
      <c r="AE9" s="197"/>
      <c r="AF9" s="197"/>
      <c r="AG9" s="197"/>
      <c r="AH9" s="197">
        <f t="shared" si="4"/>
        <v>0</v>
      </c>
      <c r="AI9" s="198">
        <f t="shared" si="5"/>
        <v>0</v>
      </c>
      <c r="AJ9" s="197"/>
      <c r="AK9" s="197"/>
      <c r="AL9" s="197"/>
      <c r="AM9" s="197"/>
      <c r="AN9" s="197"/>
      <c r="AO9" s="197"/>
      <c r="AP9" s="197"/>
      <c r="AQ9" s="197"/>
      <c r="AR9" s="197"/>
      <c r="AS9" s="199">
        <f t="shared" ref="AS9:AS10" si="10">M9/16*U9+M9/16*AB9+M9/16*AH9</f>
        <v>0</v>
      </c>
      <c r="AT9" s="199">
        <f t="shared" si="6"/>
        <v>0</v>
      </c>
      <c r="AU9" s="197"/>
      <c r="AV9" s="197"/>
      <c r="AW9" s="197"/>
      <c r="AX9" s="197">
        <f>M9</f>
        <v>31921.125</v>
      </c>
      <c r="AY9" s="118">
        <f>AX9*75%</f>
        <v>23940.84375</v>
      </c>
      <c r="AZ9" s="197"/>
      <c r="BA9" s="197"/>
      <c r="BB9" s="197"/>
      <c r="BC9" s="188">
        <f t="shared" ref="BC9:BC10" si="11">AT9+AX9+AY9</f>
        <v>55861.96875</v>
      </c>
      <c r="BD9" s="199">
        <f t="shared" si="7"/>
        <v>3016.5463124999997</v>
      </c>
      <c r="BE9" s="197">
        <f t="shared" si="8"/>
        <v>1759.6520156250001</v>
      </c>
      <c r="BF9" s="197">
        <f t="shared" si="9"/>
        <v>837.92953124999997</v>
      </c>
    </row>
    <row r="10" spans="1:59" s="200" customFormat="1" x14ac:dyDescent="0.25">
      <c r="A10" s="189"/>
      <c r="B10" s="190" t="s">
        <v>15</v>
      </c>
      <c r="C10" s="201"/>
      <c r="D10" s="202" t="s">
        <v>120</v>
      </c>
      <c r="E10" s="197" t="s">
        <v>67</v>
      </c>
      <c r="F10" s="203" t="s">
        <v>109</v>
      </c>
      <c r="G10" s="203" t="s">
        <v>132</v>
      </c>
      <c r="H10" s="203">
        <v>6</v>
      </c>
      <c r="I10" s="203" t="s">
        <v>103</v>
      </c>
      <c r="J10" s="203">
        <v>4.3</v>
      </c>
      <c r="K10" s="202">
        <v>69169</v>
      </c>
      <c r="L10" s="197">
        <f t="shared" si="0"/>
        <v>86461.25</v>
      </c>
      <c r="M10" s="197">
        <f t="shared" si="1"/>
        <v>25938.375</v>
      </c>
      <c r="N10" s="197"/>
      <c r="O10" s="197"/>
      <c r="P10" s="198"/>
      <c r="Q10" s="197">
        <v>21</v>
      </c>
      <c r="R10" s="197"/>
      <c r="S10" s="197"/>
      <c r="T10" s="197"/>
      <c r="U10" s="197">
        <f t="shared" si="2"/>
        <v>21</v>
      </c>
      <c r="V10" s="197"/>
      <c r="W10" s="197"/>
      <c r="X10" s="197"/>
      <c r="Y10" s="197"/>
      <c r="Z10" s="197"/>
      <c r="AA10" s="197"/>
      <c r="AB10" s="197">
        <f t="shared" si="3"/>
        <v>0</v>
      </c>
      <c r="AC10" s="197"/>
      <c r="AD10" s="197"/>
      <c r="AE10" s="197"/>
      <c r="AF10" s="197"/>
      <c r="AG10" s="197"/>
      <c r="AH10" s="197">
        <f t="shared" si="4"/>
        <v>0</v>
      </c>
      <c r="AI10" s="198">
        <f t="shared" si="5"/>
        <v>21</v>
      </c>
      <c r="AJ10" s="197"/>
      <c r="AK10" s="197"/>
      <c r="AL10" s="199"/>
      <c r="AM10" s="197"/>
      <c r="AN10" s="197"/>
      <c r="AO10" s="197"/>
      <c r="AP10" s="197"/>
      <c r="AQ10" s="197"/>
      <c r="AR10" s="197"/>
      <c r="AS10" s="199">
        <f t="shared" si="10"/>
        <v>34044.1171875</v>
      </c>
      <c r="AT10" s="199">
        <f t="shared" si="6"/>
        <v>34044.1171875</v>
      </c>
      <c r="AU10" s="197"/>
      <c r="AV10" s="197"/>
      <c r="AW10" s="197"/>
      <c r="AX10" s="197"/>
      <c r="AY10" s="118">
        <f t="shared" ref="AY10" si="12">AT10*75%</f>
        <v>25533.087890625</v>
      </c>
      <c r="AZ10" s="197"/>
      <c r="BA10" s="197"/>
      <c r="BB10" s="197"/>
      <c r="BC10" s="188">
        <f t="shared" si="11"/>
        <v>59577.205078125</v>
      </c>
      <c r="BD10" s="199">
        <f t="shared" si="7"/>
        <v>3217.1690742187502</v>
      </c>
      <c r="BE10" s="197">
        <f t="shared" si="8"/>
        <v>1876.6819599609378</v>
      </c>
      <c r="BF10" s="197">
        <f t="shared" si="9"/>
        <v>893.658076171875</v>
      </c>
    </row>
    <row r="11" spans="1:59" x14ac:dyDescent="0.25">
      <c r="A11" s="151"/>
      <c r="B11" s="152" t="s">
        <v>119</v>
      </c>
      <c r="C11" s="153"/>
      <c r="D11" s="154"/>
      <c r="E11" s="154"/>
      <c r="F11" s="155"/>
      <c r="G11" s="156"/>
      <c r="H11" s="153"/>
      <c r="I11" s="157"/>
      <c r="J11" s="158"/>
      <c r="K11" s="159">
        <f>SUM(K9:K10)</f>
        <v>154292</v>
      </c>
      <c r="L11" s="159">
        <f>SUM(L9:L10)</f>
        <v>192865</v>
      </c>
      <c r="M11" s="159">
        <f>SUM(M9:M10)</f>
        <v>57859.5</v>
      </c>
      <c r="N11" s="159"/>
      <c r="O11" s="159"/>
      <c r="P11" s="159"/>
      <c r="Q11" s="159"/>
      <c r="R11" s="159"/>
      <c r="S11" s="159"/>
      <c r="T11" s="159"/>
      <c r="U11" s="159">
        <f>SUM(U7:U10)</f>
        <v>21</v>
      </c>
      <c r="V11" s="159"/>
      <c r="W11" s="159"/>
      <c r="X11" s="159"/>
      <c r="Y11" s="159"/>
      <c r="Z11" s="159"/>
      <c r="AA11" s="159"/>
      <c r="AB11" s="124">
        <f>SUM(AB7:AB10)</f>
        <v>5</v>
      </c>
      <c r="AC11" s="159"/>
      <c r="AD11" s="159"/>
      <c r="AE11" s="159"/>
      <c r="AF11" s="159"/>
      <c r="AG11" s="160"/>
      <c r="AH11" s="160">
        <f>SUM(AH7:AH10)</f>
        <v>0</v>
      </c>
      <c r="AI11" s="160">
        <f>SUM(AI7:AI10)</f>
        <v>26</v>
      </c>
      <c r="AJ11" s="159"/>
      <c r="AK11" s="159"/>
      <c r="AL11" s="159"/>
      <c r="AM11" s="159"/>
      <c r="AN11" s="159"/>
      <c r="AO11" s="159"/>
      <c r="AP11" s="159"/>
      <c r="AQ11" s="159"/>
      <c r="AR11" s="159"/>
      <c r="AS11" s="161">
        <f>SUM(AS7:AS10)</f>
        <v>43708.3359375</v>
      </c>
      <c r="AT11" s="159">
        <f t="shared" ref="AT11" si="13">AJ11+AK11+AL11+AN11+AP11+AR11+AS11</f>
        <v>43708.3359375</v>
      </c>
      <c r="AU11" s="159"/>
      <c r="AV11" s="159"/>
      <c r="AW11" s="159"/>
      <c r="AX11" s="159">
        <f>SUM(AX8:AX10)</f>
        <v>31921.125</v>
      </c>
      <c r="AY11" s="159">
        <f>SUM(AY8:AY10)</f>
        <v>56722.095703125</v>
      </c>
      <c r="AZ11" s="159"/>
      <c r="BA11" s="159"/>
      <c r="BB11" s="159"/>
      <c r="BC11" s="161">
        <f>SUM(BC8:BC10)</f>
        <v>132351.556640625</v>
      </c>
      <c r="BD11" s="161">
        <f t="shared" ref="BD11" si="14">BC11*90/100*6%</f>
        <v>7146.9840585937491</v>
      </c>
      <c r="BE11" s="159">
        <f t="shared" ref="BE11" si="15">BC11*90/100*3.5%</f>
        <v>4169.0740341796873</v>
      </c>
      <c r="BF11" s="159">
        <f t="shared" ref="BF11" si="16">BC11*1.5%</f>
        <v>1985.2733496093749</v>
      </c>
      <c r="BG11" s="97"/>
    </row>
    <row r="12" spans="1:59" x14ac:dyDescent="0.25">
      <c r="A12" s="143"/>
      <c r="B12" s="92"/>
      <c r="C12" s="93"/>
      <c r="D12" s="94"/>
      <c r="E12" s="94"/>
      <c r="F12" s="96"/>
      <c r="G12" s="146"/>
      <c r="H12" s="93"/>
      <c r="I12" s="95"/>
      <c r="J12" s="92"/>
      <c r="K12" s="94"/>
      <c r="L12" s="94"/>
      <c r="M12" s="162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122"/>
      <c r="AC12" s="94"/>
      <c r="AD12" s="94"/>
      <c r="AE12" s="94"/>
      <c r="AF12" s="94"/>
      <c r="AG12" s="138"/>
      <c r="AH12" s="137"/>
      <c r="AI12" s="139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7"/>
    </row>
    <row r="13" spans="1:59" x14ac:dyDescent="0.25">
      <c r="A13" s="143"/>
      <c r="B13" t="s">
        <v>158</v>
      </c>
      <c r="C13" s="13"/>
      <c r="E13" s="163" t="s">
        <v>157</v>
      </c>
      <c r="F13" s="96"/>
      <c r="G13" s="146"/>
      <c r="H13" s="93"/>
      <c r="I13" s="95"/>
      <c r="J13" s="92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122"/>
      <c r="AC13" s="94"/>
      <c r="AD13" s="94"/>
      <c r="AE13" s="94"/>
      <c r="AF13" s="94"/>
      <c r="AG13" s="94"/>
      <c r="AH13" s="94"/>
      <c r="AI13" s="97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140"/>
    </row>
    <row r="14" spans="1:59" x14ac:dyDescent="0.25">
      <c r="A14" s="143"/>
      <c r="E14" s="164"/>
      <c r="F14" s="96"/>
      <c r="G14" s="146"/>
      <c r="H14" s="93"/>
      <c r="I14" s="95"/>
      <c r="J14" s="92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122"/>
      <c r="AC14" s="94"/>
      <c r="AD14" s="94"/>
      <c r="AE14" s="94"/>
      <c r="AF14" s="94"/>
      <c r="AG14" s="94"/>
      <c r="AH14" s="94"/>
      <c r="AI14" s="97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7"/>
    </row>
    <row r="15" spans="1:59" x14ac:dyDescent="0.25">
      <c r="A15" s="143"/>
      <c r="B15" t="s">
        <v>116</v>
      </c>
      <c r="E15" s="164" t="s">
        <v>128</v>
      </c>
      <c r="F15" s="96"/>
      <c r="G15" s="146"/>
      <c r="H15" s="93"/>
      <c r="I15" s="95"/>
      <c r="J15" s="92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122"/>
      <c r="AC15" s="94"/>
      <c r="AD15" s="94"/>
      <c r="AE15" s="94"/>
      <c r="AF15" s="94"/>
      <c r="AG15" s="94"/>
      <c r="AH15" s="94"/>
      <c r="AI15" s="97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7"/>
    </row>
    <row r="16" spans="1:59" x14ac:dyDescent="0.25">
      <c r="A16" s="143"/>
      <c r="E16" s="164"/>
      <c r="F16" s="96"/>
      <c r="G16" s="146"/>
      <c r="H16" s="93"/>
      <c r="I16" s="95"/>
      <c r="J16" s="92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7"/>
      <c r="AB16" s="122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BC16" s="97"/>
    </row>
    <row r="17" spans="1:55" x14ac:dyDescent="0.25">
      <c r="A17" s="143"/>
      <c r="B17" t="s">
        <v>205</v>
      </c>
      <c r="E17" s="180" t="s">
        <v>86</v>
      </c>
      <c r="F17" s="96"/>
      <c r="G17" s="146"/>
      <c r="H17" s="93"/>
      <c r="I17" s="95"/>
      <c r="J17" s="92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122"/>
      <c r="AC17" s="94"/>
      <c r="AD17" s="94"/>
      <c r="AE17" s="94"/>
      <c r="AF17" s="94"/>
      <c r="AG17" s="94"/>
      <c r="AH17" s="94"/>
      <c r="AI17" s="97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7"/>
    </row>
  </sheetData>
  <mergeCells count="34">
    <mergeCell ref="H4:H6"/>
    <mergeCell ref="A4:A6"/>
    <mergeCell ref="B4:B6"/>
    <mergeCell ref="D4:D6"/>
    <mergeCell ref="E4:E6"/>
    <mergeCell ref="F4:F6"/>
    <mergeCell ref="AT4:AT6"/>
    <mergeCell ref="I4:I6"/>
    <mergeCell ref="K4:K6"/>
    <mergeCell ref="L4:L6"/>
    <mergeCell ref="M4:M6"/>
    <mergeCell ref="N4:N6"/>
    <mergeCell ref="O4:O6"/>
    <mergeCell ref="P4:P6"/>
    <mergeCell ref="Q4:AH4"/>
    <mergeCell ref="AJ4:AL4"/>
    <mergeCell ref="AM4:AR4"/>
    <mergeCell ref="AS4:AS6"/>
    <mergeCell ref="BC4:BC6"/>
    <mergeCell ref="Q5:U5"/>
    <mergeCell ref="V5:AB5"/>
    <mergeCell ref="AC5:AH5"/>
    <mergeCell ref="AM5:AN5"/>
    <mergeCell ref="AO5:AP5"/>
    <mergeCell ref="AQ5:AR5"/>
    <mergeCell ref="AU5:AU6"/>
    <mergeCell ref="AV5:AV6"/>
    <mergeCell ref="AW5:AW6"/>
    <mergeCell ref="AU4:AW4"/>
    <mergeCell ref="AX4:AX6"/>
    <mergeCell ref="AY4:AY6"/>
    <mergeCell ref="AZ4:AZ6"/>
    <mergeCell ref="BA4:BA6"/>
    <mergeCell ref="BB4:BB6"/>
  </mergeCells>
  <pageMargins left="0" right="0" top="0.74803149606299213" bottom="0.74803149606299213" header="0.31496062992125984" footer="0.31496062992125984"/>
  <pageSetup paperSize="9" scale="70" orientation="landscape" verticalDpi="0" copies="1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15"/>
  <sheetViews>
    <sheetView workbookViewId="0">
      <selection activeCell="D16" sqref="D16"/>
    </sheetView>
  </sheetViews>
  <sheetFormatPr defaultRowHeight="15" x14ac:dyDescent="0.25"/>
  <cols>
    <col min="1" max="1" width="5" customWidth="1"/>
    <col min="2" max="2" width="15.5703125" customWidth="1"/>
    <col min="3" max="3" width="8" customWidth="1"/>
    <col min="4" max="5" width="18.7109375" customWidth="1"/>
    <col min="6" max="6" width="8.5703125" customWidth="1"/>
    <col min="7" max="7" width="7.42578125" customWidth="1"/>
    <col min="8" max="8" width="5.140625" customWidth="1"/>
    <col min="9" max="9" width="4.140625" customWidth="1"/>
    <col min="10" max="10" width="4.85546875" customWidth="1"/>
    <col min="11" max="11" width="9.28515625" customWidth="1"/>
    <col min="12" max="12" width="9.7109375" customWidth="1"/>
    <col min="13" max="13" width="10.5703125" customWidth="1"/>
    <col min="14" max="14" width="5.28515625" customWidth="1"/>
    <col min="15" max="15" width="0" hidden="1" customWidth="1"/>
    <col min="16" max="16" width="9" customWidth="1"/>
    <col min="17" max="17" width="6.42578125" customWidth="1"/>
    <col min="18" max="18" width="6.5703125" customWidth="1"/>
    <col min="19" max="19" width="3.28515625" customWidth="1"/>
    <col min="20" max="20" width="4" customWidth="1"/>
    <col min="21" max="21" width="8.42578125" customWidth="1"/>
    <col min="22" max="22" width="5.85546875" customWidth="1"/>
    <col min="23" max="23" width="2.85546875" customWidth="1"/>
    <col min="24" max="24" width="2.7109375" customWidth="1"/>
    <col min="25" max="25" width="4.42578125" customWidth="1"/>
    <col min="26" max="26" width="3.42578125" customWidth="1"/>
    <col min="27" max="27" width="3.85546875" customWidth="1"/>
    <col min="28" max="28" width="5.85546875" customWidth="1"/>
    <col min="29" max="29" width="5.28515625" customWidth="1"/>
    <col min="30" max="31" width="4" customWidth="1"/>
    <col min="32" max="32" width="2.85546875" customWidth="1"/>
    <col min="33" max="33" width="5.28515625" customWidth="1"/>
    <col min="34" max="35" width="7.28515625" customWidth="1"/>
    <col min="36" max="36" width="8.28515625" customWidth="1"/>
    <col min="37" max="37" width="7.7109375" customWidth="1"/>
    <col min="38" max="38" width="7" customWidth="1"/>
    <col min="39" max="39" width="3.85546875" customWidth="1"/>
    <col min="40" max="40" width="7.42578125" customWidth="1"/>
    <col min="41" max="41" width="4.85546875" customWidth="1"/>
    <col min="42" max="42" width="4.5703125" customWidth="1"/>
    <col min="43" max="43" width="4.28515625" customWidth="1"/>
    <col min="44" max="44" width="3.5703125" customWidth="1"/>
    <col min="45" max="45" width="10.140625" customWidth="1"/>
    <col min="46" max="46" width="9.85546875" customWidth="1"/>
    <col min="47" max="47" width="5.85546875" customWidth="1"/>
    <col min="48" max="48" width="4.7109375" customWidth="1"/>
    <col min="49" max="49" width="6.140625" customWidth="1"/>
    <col min="50" max="50" width="7.42578125" customWidth="1"/>
    <col min="51" max="51" width="8.28515625" customWidth="1"/>
    <col min="52" max="52" width="4.7109375" customWidth="1"/>
    <col min="53" max="53" width="3.28515625" customWidth="1"/>
    <col min="54" max="54" width="5.28515625" customWidth="1"/>
    <col min="55" max="55" width="12.7109375" customWidth="1"/>
    <col min="57" max="57" width="8.5703125" customWidth="1"/>
    <col min="58" max="58" width="6.5703125" customWidth="1"/>
  </cols>
  <sheetData>
    <row r="2" spans="1:59" x14ac:dyDescent="0.25">
      <c r="A2" s="143"/>
      <c r="B2" s="92"/>
      <c r="C2" s="93"/>
      <c r="D2" s="94"/>
      <c r="E2" s="94"/>
      <c r="F2" s="96"/>
      <c r="G2" s="146"/>
      <c r="H2" s="93"/>
      <c r="I2" s="95"/>
      <c r="J2" s="92"/>
      <c r="K2" s="97" t="s">
        <v>159</v>
      </c>
      <c r="L2" s="97"/>
      <c r="M2" s="97"/>
      <c r="N2" s="97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122"/>
      <c r="AC2" s="94"/>
      <c r="AD2" s="94"/>
      <c r="AE2" s="94"/>
      <c r="AF2" s="94"/>
      <c r="AG2" s="94"/>
      <c r="AH2" s="94"/>
      <c r="AI2" s="97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7"/>
    </row>
    <row r="3" spans="1:59" x14ac:dyDescent="0.25">
      <c r="A3" s="143"/>
      <c r="B3" s="92"/>
      <c r="C3" s="93"/>
      <c r="D3" s="94"/>
      <c r="E3" s="94"/>
      <c r="F3" s="96"/>
      <c r="G3" s="146"/>
      <c r="H3" s="93"/>
      <c r="I3" s="95"/>
      <c r="J3" s="92"/>
      <c r="K3" s="97" t="s">
        <v>172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22"/>
      <c r="AC3" s="94"/>
      <c r="AD3" s="94"/>
      <c r="AE3" s="94"/>
      <c r="AF3" s="94"/>
      <c r="AG3" s="94"/>
      <c r="AH3" s="94"/>
      <c r="AI3" s="97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7"/>
    </row>
    <row r="4" spans="1:59" x14ac:dyDescent="0.25">
      <c r="A4" s="300"/>
      <c r="B4" s="296" t="s">
        <v>161</v>
      </c>
      <c r="C4" s="230"/>
      <c r="D4" s="283" t="s">
        <v>40</v>
      </c>
      <c r="E4" s="283" t="s">
        <v>41</v>
      </c>
      <c r="F4" s="292" t="s">
        <v>42</v>
      </c>
      <c r="G4" s="147"/>
      <c r="H4" s="283" t="s">
        <v>43</v>
      </c>
      <c r="I4" s="303" t="s">
        <v>99</v>
      </c>
      <c r="J4" s="148"/>
      <c r="K4" s="284" t="s">
        <v>44</v>
      </c>
      <c r="L4" s="288" t="s">
        <v>162</v>
      </c>
      <c r="M4" s="288" t="s">
        <v>173</v>
      </c>
      <c r="N4" s="291" t="s">
        <v>46</v>
      </c>
      <c r="O4" s="291"/>
      <c r="P4" s="291" t="s">
        <v>47</v>
      </c>
      <c r="Q4" s="282" t="s">
        <v>48</v>
      </c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101"/>
      <c r="AJ4" s="282" t="s">
        <v>49</v>
      </c>
      <c r="AK4" s="282"/>
      <c r="AL4" s="282"/>
      <c r="AM4" s="282" t="s">
        <v>50</v>
      </c>
      <c r="AN4" s="282"/>
      <c r="AO4" s="282"/>
      <c r="AP4" s="282"/>
      <c r="AQ4" s="282"/>
      <c r="AR4" s="282"/>
      <c r="AS4" s="291" t="s">
        <v>47</v>
      </c>
      <c r="AT4" s="283" t="s">
        <v>51</v>
      </c>
      <c r="AU4" s="283" t="s">
        <v>52</v>
      </c>
      <c r="AV4" s="283"/>
      <c r="AW4" s="283"/>
      <c r="AX4" s="283" t="s">
        <v>53</v>
      </c>
      <c r="AY4" s="284" t="s">
        <v>200</v>
      </c>
      <c r="AZ4" s="283" t="s">
        <v>164</v>
      </c>
      <c r="BA4" s="284" t="s">
        <v>165</v>
      </c>
      <c r="BB4" s="283" t="s">
        <v>54</v>
      </c>
      <c r="BC4" s="281" t="s">
        <v>166</v>
      </c>
      <c r="BD4" s="1"/>
      <c r="BE4" s="1"/>
      <c r="BF4" s="1"/>
    </row>
    <row r="5" spans="1:59" ht="60" x14ac:dyDescent="0.25">
      <c r="A5" s="301"/>
      <c r="B5" s="297"/>
      <c r="C5" s="231" t="s">
        <v>167</v>
      </c>
      <c r="D5" s="283"/>
      <c r="E5" s="283"/>
      <c r="F5" s="292"/>
      <c r="G5" s="147"/>
      <c r="H5" s="283"/>
      <c r="I5" s="304"/>
      <c r="J5" s="149"/>
      <c r="K5" s="279"/>
      <c r="L5" s="289"/>
      <c r="M5" s="289"/>
      <c r="N5" s="289"/>
      <c r="O5" s="289"/>
      <c r="P5" s="289"/>
      <c r="Q5" s="282" t="s">
        <v>55</v>
      </c>
      <c r="R5" s="282"/>
      <c r="S5" s="282"/>
      <c r="T5" s="282"/>
      <c r="U5" s="282"/>
      <c r="V5" s="282" t="s">
        <v>56</v>
      </c>
      <c r="W5" s="282"/>
      <c r="X5" s="282"/>
      <c r="Y5" s="282"/>
      <c r="Z5" s="282"/>
      <c r="AA5" s="282"/>
      <c r="AB5" s="282"/>
      <c r="AC5" s="282" t="s">
        <v>57</v>
      </c>
      <c r="AD5" s="282"/>
      <c r="AE5" s="282"/>
      <c r="AF5" s="282"/>
      <c r="AG5" s="282"/>
      <c r="AH5" s="282"/>
      <c r="AI5" s="101"/>
      <c r="AJ5" s="229" t="s">
        <v>55</v>
      </c>
      <c r="AK5" s="229" t="s">
        <v>56</v>
      </c>
      <c r="AL5" s="229" t="s">
        <v>57</v>
      </c>
      <c r="AM5" s="282" t="s">
        <v>55</v>
      </c>
      <c r="AN5" s="282"/>
      <c r="AO5" s="282" t="s">
        <v>56</v>
      </c>
      <c r="AP5" s="282"/>
      <c r="AQ5" s="282" t="s">
        <v>57</v>
      </c>
      <c r="AR5" s="282"/>
      <c r="AS5" s="289"/>
      <c r="AT5" s="283"/>
      <c r="AU5" s="283" t="s">
        <v>58</v>
      </c>
      <c r="AV5" s="283" t="s">
        <v>59</v>
      </c>
      <c r="AW5" s="283" t="s">
        <v>60</v>
      </c>
      <c r="AX5" s="283"/>
      <c r="AY5" s="279"/>
      <c r="AZ5" s="283"/>
      <c r="BA5" s="279"/>
      <c r="BB5" s="283"/>
      <c r="BC5" s="281"/>
      <c r="BD5" s="1"/>
      <c r="BE5" s="1"/>
      <c r="BF5" s="1"/>
    </row>
    <row r="6" spans="1:59" ht="45" x14ac:dyDescent="0.25">
      <c r="A6" s="302"/>
      <c r="B6" s="298"/>
      <c r="C6" s="232"/>
      <c r="D6" s="283"/>
      <c r="E6" s="283"/>
      <c r="F6" s="292"/>
      <c r="G6" s="147" t="s">
        <v>168</v>
      </c>
      <c r="H6" s="283"/>
      <c r="I6" s="305"/>
      <c r="J6" s="150"/>
      <c r="K6" s="280"/>
      <c r="L6" s="290"/>
      <c r="M6" s="290"/>
      <c r="N6" s="290"/>
      <c r="O6" s="290"/>
      <c r="P6" s="290"/>
      <c r="Q6" s="105"/>
      <c r="R6" s="105"/>
      <c r="S6" s="105"/>
      <c r="T6" s="105"/>
      <c r="U6" s="105" t="s">
        <v>6</v>
      </c>
      <c r="V6" s="105"/>
      <c r="W6" s="105"/>
      <c r="X6" s="105"/>
      <c r="Y6" s="105"/>
      <c r="Z6" s="105"/>
      <c r="AA6" s="105"/>
      <c r="AB6" s="118" t="s">
        <v>6</v>
      </c>
      <c r="AC6" s="105"/>
      <c r="AD6" s="105"/>
      <c r="AE6" s="105"/>
      <c r="AF6" s="105"/>
      <c r="AG6" s="105"/>
      <c r="AH6" s="105" t="s">
        <v>6</v>
      </c>
      <c r="AI6" s="107"/>
      <c r="AJ6" s="105"/>
      <c r="AK6" s="105"/>
      <c r="AL6" s="105"/>
      <c r="AM6" s="105" t="s">
        <v>61</v>
      </c>
      <c r="AN6" s="106" t="s">
        <v>62</v>
      </c>
      <c r="AO6" s="105" t="s">
        <v>61</v>
      </c>
      <c r="AP6" s="106" t="s">
        <v>62</v>
      </c>
      <c r="AQ6" s="105" t="s">
        <v>61</v>
      </c>
      <c r="AR6" s="106" t="s">
        <v>62</v>
      </c>
      <c r="AS6" s="290"/>
      <c r="AT6" s="283"/>
      <c r="AU6" s="283"/>
      <c r="AV6" s="283"/>
      <c r="AW6" s="283"/>
      <c r="AX6" s="283"/>
      <c r="AY6" s="280"/>
      <c r="AZ6" s="283"/>
      <c r="BA6" s="280"/>
      <c r="BB6" s="283"/>
      <c r="BC6" s="281"/>
      <c r="BD6" s="107">
        <v>121</v>
      </c>
      <c r="BE6" s="107">
        <v>122</v>
      </c>
      <c r="BF6" s="107">
        <v>124</v>
      </c>
    </row>
    <row r="7" spans="1:59" ht="18" x14ac:dyDescent="0.25">
      <c r="A7" s="125"/>
      <c r="B7" s="109"/>
      <c r="C7" s="229"/>
      <c r="D7" s="145">
        <v>44713</v>
      </c>
      <c r="E7" s="105"/>
      <c r="F7" s="112"/>
      <c r="G7" s="123"/>
      <c r="H7" s="229"/>
      <c r="I7" s="111"/>
      <c r="J7" s="109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18"/>
      <c r="AC7" s="105"/>
      <c r="AD7" s="105"/>
      <c r="AE7" s="105"/>
      <c r="AF7" s="105"/>
      <c r="AG7" s="105"/>
      <c r="AH7" s="105"/>
      <c r="AI7" s="107"/>
      <c r="AJ7" s="105"/>
      <c r="AK7" s="105"/>
      <c r="AL7" s="113"/>
      <c r="AM7" s="105"/>
      <c r="AN7" s="105"/>
      <c r="AO7" s="105"/>
      <c r="AP7" s="105"/>
      <c r="AQ7" s="105"/>
      <c r="AR7" s="105"/>
      <c r="AS7" s="113"/>
      <c r="AT7" s="113"/>
      <c r="AU7" s="105"/>
      <c r="AV7" s="105"/>
      <c r="AW7" s="105"/>
      <c r="AX7" s="105"/>
      <c r="AY7" s="105"/>
      <c r="AZ7" s="105"/>
      <c r="BA7" s="105"/>
      <c r="BB7" s="105"/>
      <c r="BC7" s="114"/>
      <c r="BD7" s="1"/>
      <c r="BE7" s="1"/>
      <c r="BF7" s="1"/>
    </row>
    <row r="8" spans="1:59" s="200" customFormat="1" x14ac:dyDescent="0.25">
      <c r="A8" s="189"/>
      <c r="B8" s="190" t="s">
        <v>15</v>
      </c>
      <c r="C8" s="191"/>
      <c r="D8" s="192" t="s">
        <v>145</v>
      </c>
      <c r="E8" s="192" t="s">
        <v>211</v>
      </c>
      <c r="F8" s="193" t="s">
        <v>65</v>
      </c>
      <c r="G8" s="193" t="s">
        <v>132</v>
      </c>
      <c r="H8" s="193">
        <v>10</v>
      </c>
      <c r="I8" s="194" t="s">
        <v>103</v>
      </c>
      <c r="J8" s="195">
        <v>2.2999999999999998</v>
      </c>
      <c r="K8" s="196">
        <v>85123</v>
      </c>
      <c r="L8" s="197">
        <f t="shared" ref="L8" si="0">K8*125/100</f>
        <v>106403.75</v>
      </c>
      <c r="M8" s="197">
        <f t="shared" ref="M8" si="1">L8*30%</f>
        <v>31921.125</v>
      </c>
      <c r="N8" s="197"/>
      <c r="O8" s="197"/>
      <c r="P8" s="197"/>
      <c r="Q8" s="197"/>
      <c r="R8" s="197"/>
      <c r="S8" s="197"/>
      <c r="T8" s="197"/>
      <c r="U8" s="197">
        <f t="shared" ref="U8" si="2">Q8+R8+S8+T8</f>
        <v>0</v>
      </c>
      <c r="V8" s="197"/>
      <c r="W8" s="197"/>
      <c r="X8" s="197"/>
      <c r="Y8" s="197"/>
      <c r="Z8" s="197"/>
      <c r="AA8" s="197"/>
      <c r="AB8" s="197">
        <f t="shared" ref="AB8" si="3">V8+W8+X8+Y8+Z8</f>
        <v>0</v>
      </c>
      <c r="AC8" s="197"/>
      <c r="AD8" s="197"/>
      <c r="AE8" s="197"/>
      <c r="AF8" s="197"/>
      <c r="AG8" s="197"/>
      <c r="AH8" s="197">
        <f t="shared" ref="AH8" si="4">AC8+AE8+AF8+AG8</f>
        <v>0</v>
      </c>
      <c r="AI8" s="198">
        <f t="shared" ref="AI8" si="5">U8+AB8+AH8</f>
        <v>0</v>
      </c>
      <c r="AJ8" s="197"/>
      <c r="AK8" s="197"/>
      <c r="AL8" s="197"/>
      <c r="AM8" s="197"/>
      <c r="AN8" s="197"/>
      <c r="AO8" s="197"/>
      <c r="AP8" s="197"/>
      <c r="AQ8" s="197"/>
      <c r="AR8" s="197"/>
      <c r="AS8" s="199">
        <f t="shared" ref="AS8" si="6">M8/16*U8+M8/16*AB8+M8/16*AH8</f>
        <v>0</v>
      </c>
      <c r="AT8" s="199">
        <f t="shared" ref="AT8:AT9" si="7">AJ8+AK8+AL8+AN8+AP8+AR8+AS8</f>
        <v>0</v>
      </c>
      <c r="AU8" s="197"/>
      <c r="AV8" s="197"/>
      <c r="AW8" s="197"/>
      <c r="AX8" s="197">
        <f>M8*0.5</f>
        <v>15960.5625</v>
      </c>
      <c r="AY8" s="118">
        <f>AX8*75%</f>
        <v>11970.421875</v>
      </c>
      <c r="AZ8" s="197"/>
      <c r="BA8" s="197"/>
      <c r="BB8" s="197"/>
      <c r="BC8" s="188">
        <f t="shared" ref="BC8" si="8">AT8+AX8+AY8</f>
        <v>27930.984375</v>
      </c>
      <c r="BD8" s="199">
        <f t="shared" ref="BD8:BD9" si="9">BC8*90/100*6%</f>
        <v>1508.2731562499998</v>
      </c>
      <c r="BE8" s="197">
        <f t="shared" ref="BE8:BE9" si="10">BC8*90/100*3.5%</f>
        <v>879.82600781250005</v>
      </c>
      <c r="BF8" s="197">
        <f t="shared" ref="BF8:BF9" si="11">BC8*1.5%</f>
        <v>418.96476562499998</v>
      </c>
    </row>
    <row r="9" spans="1:59" x14ac:dyDescent="0.25">
      <c r="A9" s="233"/>
      <c r="B9" s="152" t="s">
        <v>119</v>
      </c>
      <c r="C9" s="153"/>
      <c r="D9" s="154"/>
      <c r="E9" s="154"/>
      <c r="F9" s="155"/>
      <c r="G9" s="156"/>
      <c r="H9" s="153"/>
      <c r="I9" s="157"/>
      <c r="J9" s="158"/>
      <c r="K9" s="159">
        <f>SUM(K8:K8)</f>
        <v>85123</v>
      </c>
      <c r="L9" s="159">
        <f>SUM(L8:L8)</f>
        <v>106403.75</v>
      </c>
      <c r="M9" s="159">
        <f>SUM(M8:M8)</f>
        <v>31921.125</v>
      </c>
      <c r="N9" s="159"/>
      <c r="O9" s="159"/>
      <c r="P9" s="159"/>
      <c r="Q9" s="159"/>
      <c r="R9" s="159"/>
      <c r="S9" s="159"/>
      <c r="T9" s="159"/>
      <c r="U9" s="159">
        <f>SUM(U7:U8)</f>
        <v>0</v>
      </c>
      <c r="V9" s="159"/>
      <c r="W9" s="159"/>
      <c r="X9" s="159"/>
      <c r="Y9" s="159"/>
      <c r="Z9" s="159"/>
      <c r="AA9" s="159"/>
      <c r="AB9" s="124">
        <f>SUM(AB7:AB8)</f>
        <v>0</v>
      </c>
      <c r="AC9" s="159"/>
      <c r="AD9" s="159"/>
      <c r="AE9" s="159"/>
      <c r="AF9" s="159"/>
      <c r="AG9" s="160"/>
      <c r="AH9" s="160">
        <f>SUM(AH7:AH8)</f>
        <v>0</v>
      </c>
      <c r="AI9" s="160">
        <f>SUM(AI7:AI8)</f>
        <v>0</v>
      </c>
      <c r="AJ9" s="159"/>
      <c r="AK9" s="159"/>
      <c r="AL9" s="159"/>
      <c r="AM9" s="159"/>
      <c r="AN9" s="159"/>
      <c r="AO9" s="159"/>
      <c r="AP9" s="159"/>
      <c r="AQ9" s="159"/>
      <c r="AR9" s="159"/>
      <c r="AS9" s="161">
        <f>SUM(AS7:AS8)</f>
        <v>0</v>
      </c>
      <c r="AT9" s="159">
        <f t="shared" si="7"/>
        <v>0</v>
      </c>
      <c r="AU9" s="159"/>
      <c r="AV9" s="159"/>
      <c r="AW9" s="159"/>
      <c r="AX9" s="159">
        <f>SUM(AX8:AX8)</f>
        <v>15960.5625</v>
      </c>
      <c r="AY9" s="159">
        <f>SUM(AY8:AY8)</f>
        <v>11970.421875</v>
      </c>
      <c r="AZ9" s="159"/>
      <c r="BA9" s="159"/>
      <c r="BB9" s="159"/>
      <c r="BC9" s="161">
        <f>SUM(BC8:BC8)</f>
        <v>27930.984375</v>
      </c>
      <c r="BD9" s="161">
        <f t="shared" si="9"/>
        <v>1508.2731562499998</v>
      </c>
      <c r="BE9" s="159">
        <f t="shared" si="10"/>
        <v>879.82600781250005</v>
      </c>
      <c r="BF9" s="159">
        <f t="shared" si="11"/>
        <v>418.96476562499998</v>
      </c>
      <c r="BG9" s="97"/>
    </row>
    <row r="10" spans="1:59" x14ac:dyDescent="0.25">
      <c r="A10" s="143"/>
      <c r="B10" s="92"/>
      <c r="C10" s="93"/>
      <c r="D10" s="94"/>
      <c r="E10" s="94"/>
      <c r="F10" s="96"/>
      <c r="G10" s="146"/>
      <c r="H10" s="93"/>
      <c r="I10" s="95"/>
      <c r="J10" s="92"/>
      <c r="K10" s="94"/>
      <c r="L10" s="94"/>
      <c r="M10" s="162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122"/>
      <c r="AC10" s="94"/>
      <c r="AD10" s="94"/>
      <c r="AE10" s="94"/>
      <c r="AF10" s="94"/>
      <c r="AG10" s="138"/>
      <c r="AH10" s="137"/>
      <c r="AI10" s="139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7"/>
    </row>
    <row r="11" spans="1:59" x14ac:dyDescent="0.25">
      <c r="A11" s="143"/>
      <c r="B11" t="s">
        <v>214</v>
      </c>
      <c r="C11" s="13"/>
      <c r="E11" s="163" t="s">
        <v>215</v>
      </c>
      <c r="F11" s="96"/>
      <c r="G11" s="146"/>
      <c r="H11" s="93"/>
      <c r="I11" s="95"/>
      <c r="J11" s="92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122"/>
      <c r="AC11" s="94"/>
      <c r="AD11" s="94"/>
      <c r="AE11" s="94"/>
      <c r="AF11" s="94"/>
      <c r="AG11" s="94"/>
      <c r="AH11" s="94"/>
      <c r="AI11" s="97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140"/>
    </row>
    <row r="12" spans="1:59" x14ac:dyDescent="0.25">
      <c r="A12" s="143"/>
      <c r="E12" s="164"/>
      <c r="F12" s="96"/>
      <c r="G12" s="146"/>
      <c r="H12" s="93"/>
      <c r="I12" s="95"/>
      <c r="J12" s="92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122"/>
      <c r="AC12" s="94"/>
      <c r="AD12" s="94"/>
      <c r="AE12" s="94"/>
      <c r="AF12" s="94"/>
      <c r="AG12" s="94"/>
      <c r="AH12" s="94"/>
      <c r="AI12" s="97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7"/>
    </row>
    <row r="13" spans="1:59" x14ac:dyDescent="0.25">
      <c r="A13" s="143"/>
      <c r="B13" t="s">
        <v>116</v>
      </c>
      <c r="E13" s="164" t="s">
        <v>128</v>
      </c>
      <c r="F13" s="96"/>
      <c r="G13" s="146"/>
      <c r="H13" s="93"/>
      <c r="I13" s="95"/>
      <c r="J13" s="92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122"/>
      <c r="AC13" s="94"/>
      <c r="AD13" s="94"/>
      <c r="AE13" s="94"/>
      <c r="AF13" s="94"/>
      <c r="AG13" s="94"/>
      <c r="AH13" s="94"/>
      <c r="AI13" s="97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7"/>
    </row>
    <row r="14" spans="1:59" x14ac:dyDescent="0.25">
      <c r="A14" s="143"/>
      <c r="E14" s="164"/>
      <c r="F14" s="96"/>
      <c r="G14" s="146"/>
      <c r="H14" s="93"/>
      <c r="I14" s="95"/>
      <c r="J14" s="92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7"/>
      <c r="AB14" s="122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BC14" s="97"/>
    </row>
    <row r="15" spans="1:59" x14ac:dyDescent="0.25">
      <c r="A15" s="143"/>
      <c r="B15" t="s">
        <v>205</v>
      </c>
      <c r="E15" s="180" t="s">
        <v>86</v>
      </c>
      <c r="F15" s="96"/>
      <c r="G15" s="146"/>
      <c r="H15" s="93"/>
      <c r="I15" s="95"/>
      <c r="J15" s="92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122"/>
      <c r="AC15" s="94"/>
      <c r="AD15" s="94"/>
      <c r="AE15" s="94"/>
      <c r="AF15" s="94"/>
      <c r="AG15" s="94"/>
      <c r="AH15" s="94"/>
      <c r="AI15" s="97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7"/>
    </row>
  </sheetData>
  <mergeCells count="34">
    <mergeCell ref="H4:H6"/>
    <mergeCell ref="A4:A6"/>
    <mergeCell ref="B4:B6"/>
    <mergeCell ref="D4:D6"/>
    <mergeCell ref="E4:E6"/>
    <mergeCell ref="F4:F6"/>
    <mergeCell ref="AT4:AT6"/>
    <mergeCell ref="I4:I6"/>
    <mergeCell ref="K4:K6"/>
    <mergeCell ref="L4:L6"/>
    <mergeCell ref="M4:M6"/>
    <mergeCell ref="N4:N6"/>
    <mergeCell ref="O4:O6"/>
    <mergeCell ref="P4:P6"/>
    <mergeCell ref="Q4:AH4"/>
    <mergeCell ref="AJ4:AL4"/>
    <mergeCell ref="AM4:AR4"/>
    <mergeCell ref="AS4:AS6"/>
    <mergeCell ref="BC4:BC6"/>
    <mergeCell ref="Q5:U5"/>
    <mergeCell ref="V5:AB5"/>
    <mergeCell ref="AC5:AH5"/>
    <mergeCell ref="AM5:AN5"/>
    <mergeCell ref="AO5:AP5"/>
    <mergeCell ref="AQ5:AR5"/>
    <mergeCell ref="AU5:AU6"/>
    <mergeCell ref="AV5:AV6"/>
    <mergeCell ref="AW5:AW6"/>
    <mergeCell ref="AU4:AW4"/>
    <mergeCell ref="AX4:AX6"/>
    <mergeCell ref="AY4:AY6"/>
    <mergeCell ref="AZ4:AZ6"/>
    <mergeCell ref="BA4:BA6"/>
    <mergeCell ref="BB4:BB6"/>
  </mergeCells>
  <pageMargins left="0" right="0" top="0.74803149606299213" bottom="0.74803149606299213" header="0.31496062992125984" footer="0.31496062992125984"/>
  <pageSetup paperSize="9" scale="70" orientation="landscape" verticalDpi="0" copies="1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15"/>
  <sheetViews>
    <sheetView tabSelected="1" workbookViewId="0">
      <selection activeCell="D8" sqref="D8:K8"/>
    </sheetView>
  </sheetViews>
  <sheetFormatPr defaultRowHeight="15" x14ac:dyDescent="0.25"/>
  <cols>
    <col min="1" max="1" width="5" customWidth="1"/>
    <col min="2" max="2" width="15.5703125" customWidth="1"/>
    <col min="3" max="3" width="8" customWidth="1"/>
    <col min="4" max="5" width="18.7109375" customWidth="1"/>
    <col min="6" max="6" width="8.5703125" customWidth="1"/>
    <col min="7" max="7" width="7.42578125" customWidth="1"/>
    <col min="8" max="8" width="5.140625" customWidth="1"/>
    <col min="9" max="9" width="4.140625" customWidth="1"/>
    <col min="10" max="10" width="4.85546875" customWidth="1"/>
    <col min="11" max="11" width="9.28515625" customWidth="1"/>
    <col min="12" max="12" width="9.7109375" customWidth="1"/>
    <col min="13" max="13" width="10.5703125" customWidth="1"/>
    <col min="14" max="14" width="5.28515625" customWidth="1"/>
    <col min="15" max="15" width="0" hidden="1" customWidth="1"/>
    <col min="16" max="16" width="9" customWidth="1"/>
    <col min="17" max="17" width="6.42578125" customWidth="1"/>
    <col min="18" max="18" width="6.5703125" customWidth="1"/>
    <col min="19" max="19" width="3.28515625" customWidth="1"/>
    <col min="20" max="20" width="4" customWidth="1"/>
    <col min="21" max="21" width="8.42578125" customWidth="1"/>
    <col min="22" max="22" width="5.85546875" customWidth="1"/>
    <col min="23" max="23" width="2.85546875" customWidth="1"/>
    <col min="24" max="24" width="2.7109375" customWidth="1"/>
    <col min="25" max="25" width="4.42578125" customWidth="1"/>
    <col min="26" max="26" width="3.42578125" customWidth="1"/>
    <col min="27" max="27" width="3.85546875" customWidth="1"/>
    <col min="28" max="28" width="5.85546875" customWidth="1"/>
    <col min="29" max="29" width="5.28515625" customWidth="1"/>
    <col min="30" max="31" width="4" customWidth="1"/>
    <col min="32" max="32" width="2.85546875" customWidth="1"/>
    <col min="33" max="33" width="5.28515625" customWidth="1"/>
    <col min="34" max="35" width="7.28515625" customWidth="1"/>
    <col min="36" max="36" width="8.28515625" customWidth="1"/>
    <col min="37" max="37" width="7.7109375" customWidth="1"/>
    <col min="38" max="38" width="7" customWidth="1"/>
    <col min="39" max="39" width="3.85546875" customWidth="1"/>
    <col min="40" max="40" width="7.42578125" customWidth="1"/>
    <col min="41" max="41" width="4.85546875" customWidth="1"/>
    <col min="42" max="42" width="4.5703125" customWidth="1"/>
    <col min="43" max="43" width="4.28515625" customWidth="1"/>
    <col min="44" max="44" width="3.5703125" customWidth="1"/>
    <col min="45" max="45" width="10.140625" customWidth="1"/>
    <col min="46" max="46" width="9.85546875" customWidth="1"/>
    <col min="47" max="47" width="5.85546875" customWidth="1"/>
    <col min="48" max="48" width="4.7109375" customWidth="1"/>
    <col min="49" max="49" width="6.140625" customWidth="1"/>
    <col min="50" max="50" width="7.42578125" customWidth="1"/>
    <col min="51" max="51" width="8.28515625" customWidth="1"/>
    <col min="52" max="52" width="4.7109375" customWidth="1"/>
    <col min="53" max="53" width="3.28515625" customWidth="1"/>
    <col min="54" max="54" width="5.28515625" customWidth="1"/>
    <col min="55" max="55" width="12.7109375" customWidth="1"/>
    <col min="57" max="57" width="8.5703125" customWidth="1"/>
    <col min="58" max="58" width="6.5703125" customWidth="1"/>
  </cols>
  <sheetData>
    <row r="2" spans="1:59" x14ac:dyDescent="0.25">
      <c r="A2" s="143"/>
      <c r="B2" s="92"/>
      <c r="C2" s="93"/>
      <c r="D2" s="94"/>
      <c r="E2" s="94"/>
      <c r="F2" s="96"/>
      <c r="G2" s="146"/>
      <c r="H2" s="93"/>
      <c r="I2" s="95"/>
      <c r="J2" s="92"/>
      <c r="K2" s="97" t="s">
        <v>159</v>
      </c>
      <c r="L2" s="97"/>
      <c r="M2" s="97"/>
      <c r="N2" s="97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122"/>
      <c r="AC2" s="94"/>
      <c r="AD2" s="94"/>
      <c r="AE2" s="94"/>
      <c r="AF2" s="94"/>
      <c r="AG2" s="94"/>
      <c r="AH2" s="94"/>
      <c r="AI2" s="97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7"/>
    </row>
    <row r="3" spans="1:59" x14ac:dyDescent="0.25">
      <c r="A3" s="143"/>
      <c r="B3" s="92"/>
      <c r="C3" s="93"/>
      <c r="D3" s="94"/>
      <c r="E3" s="94"/>
      <c r="F3" s="96"/>
      <c r="G3" s="146"/>
      <c r="H3" s="93"/>
      <c r="I3" s="95"/>
      <c r="J3" s="92"/>
      <c r="K3" s="97" t="s">
        <v>172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22"/>
      <c r="AC3" s="94"/>
      <c r="AD3" s="94"/>
      <c r="AE3" s="94"/>
      <c r="AF3" s="94"/>
      <c r="AG3" s="94"/>
      <c r="AH3" s="94"/>
      <c r="AI3" s="97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7"/>
    </row>
    <row r="4" spans="1:59" x14ac:dyDescent="0.25">
      <c r="A4" s="300"/>
      <c r="B4" s="296" t="s">
        <v>161</v>
      </c>
      <c r="C4" s="239"/>
      <c r="D4" s="283" t="s">
        <v>40</v>
      </c>
      <c r="E4" s="283" t="s">
        <v>41</v>
      </c>
      <c r="F4" s="292" t="s">
        <v>42</v>
      </c>
      <c r="G4" s="147"/>
      <c r="H4" s="283" t="s">
        <v>43</v>
      </c>
      <c r="I4" s="303" t="s">
        <v>99</v>
      </c>
      <c r="J4" s="148"/>
      <c r="K4" s="284" t="s">
        <v>44</v>
      </c>
      <c r="L4" s="288" t="s">
        <v>162</v>
      </c>
      <c r="M4" s="288" t="s">
        <v>173</v>
      </c>
      <c r="N4" s="291" t="s">
        <v>46</v>
      </c>
      <c r="O4" s="291"/>
      <c r="P4" s="291" t="s">
        <v>47</v>
      </c>
      <c r="Q4" s="282" t="s">
        <v>48</v>
      </c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101"/>
      <c r="AJ4" s="282" t="s">
        <v>49</v>
      </c>
      <c r="AK4" s="282"/>
      <c r="AL4" s="282"/>
      <c r="AM4" s="282" t="s">
        <v>50</v>
      </c>
      <c r="AN4" s="282"/>
      <c r="AO4" s="282"/>
      <c r="AP4" s="282"/>
      <c r="AQ4" s="282"/>
      <c r="AR4" s="282"/>
      <c r="AS4" s="291" t="s">
        <v>47</v>
      </c>
      <c r="AT4" s="283" t="s">
        <v>51</v>
      </c>
      <c r="AU4" s="283" t="s">
        <v>52</v>
      </c>
      <c r="AV4" s="283"/>
      <c r="AW4" s="283"/>
      <c r="AX4" s="283" t="s">
        <v>53</v>
      </c>
      <c r="AY4" s="284" t="s">
        <v>200</v>
      </c>
      <c r="AZ4" s="283" t="s">
        <v>164</v>
      </c>
      <c r="BA4" s="284" t="s">
        <v>165</v>
      </c>
      <c r="BB4" s="283" t="s">
        <v>54</v>
      </c>
      <c r="BC4" s="281" t="s">
        <v>166</v>
      </c>
      <c r="BD4" s="1"/>
      <c r="BE4" s="1"/>
      <c r="BF4" s="1"/>
    </row>
    <row r="5" spans="1:59" ht="60" x14ac:dyDescent="0.25">
      <c r="A5" s="301"/>
      <c r="B5" s="297"/>
      <c r="C5" s="240" t="s">
        <v>167</v>
      </c>
      <c r="D5" s="283"/>
      <c r="E5" s="283"/>
      <c r="F5" s="292"/>
      <c r="G5" s="147"/>
      <c r="H5" s="283"/>
      <c r="I5" s="304"/>
      <c r="J5" s="149"/>
      <c r="K5" s="279"/>
      <c r="L5" s="289"/>
      <c r="M5" s="289"/>
      <c r="N5" s="289"/>
      <c r="O5" s="289"/>
      <c r="P5" s="289"/>
      <c r="Q5" s="282" t="s">
        <v>55</v>
      </c>
      <c r="R5" s="282"/>
      <c r="S5" s="282"/>
      <c r="T5" s="282"/>
      <c r="U5" s="282"/>
      <c r="V5" s="282" t="s">
        <v>56</v>
      </c>
      <c r="W5" s="282"/>
      <c r="X5" s="282"/>
      <c r="Y5" s="282"/>
      <c r="Z5" s="282"/>
      <c r="AA5" s="282"/>
      <c r="AB5" s="282"/>
      <c r="AC5" s="282" t="s">
        <v>57</v>
      </c>
      <c r="AD5" s="282"/>
      <c r="AE5" s="282"/>
      <c r="AF5" s="282"/>
      <c r="AG5" s="282"/>
      <c r="AH5" s="282"/>
      <c r="AI5" s="101"/>
      <c r="AJ5" s="242" t="s">
        <v>55</v>
      </c>
      <c r="AK5" s="242" t="s">
        <v>56</v>
      </c>
      <c r="AL5" s="242" t="s">
        <v>57</v>
      </c>
      <c r="AM5" s="282" t="s">
        <v>55</v>
      </c>
      <c r="AN5" s="282"/>
      <c r="AO5" s="282" t="s">
        <v>56</v>
      </c>
      <c r="AP5" s="282"/>
      <c r="AQ5" s="282" t="s">
        <v>57</v>
      </c>
      <c r="AR5" s="282"/>
      <c r="AS5" s="289"/>
      <c r="AT5" s="283"/>
      <c r="AU5" s="283" t="s">
        <v>58</v>
      </c>
      <c r="AV5" s="283" t="s">
        <v>59</v>
      </c>
      <c r="AW5" s="283" t="s">
        <v>60</v>
      </c>
      <c r="AX5" s="283"/>
      <c r="AY5" s="279"/>
      <c r="AZ5" s="283"/>
      <c r="BA5" s="279"/>
      <c r="BB5" s="283"/>
      <c r="BC5" s="281"/>
      <c r="BD5" s="1"/>
      <c r="BE5" s="1"/>
      <c r="BF5" s="1"/>
    </row>
    <row r="6" spans="1:59" ht="45" x14ac:dyDescent="0.25">
      <c r="A6" s="302"/>
      <c r="B6" s="298"/>
      <c r="C6" s="241"/>
      <c r="D6" s="283"/>
      <c r="E6" s="283"/>
      <c r="F6" s="292"/>
      <c r="G6" s="147" t="s">
        <v>168</v>
      </c>
      <c r="H6" s="283"/>
      <c r="I6" s="305"/>
      <c r="J6" s="150"/>
      <c r="K6" s="280"/>
      <c r="L6" s="290"/>
      <c r="M6" s="290"/>
      <c r="N6" s="290"/>
      <c r="O6" s="290"/>
      <c r="P6" s="290"/>
      <c r="Q6" s="105"/>
      <c r="R6" s="105"/>
      <c r="S6" s="105"/>
      <c r="T6" s="105"/>
      <c r="U6" s="105" t="s">
        <v>6</v>
      </c>
      <c r="V6" s="105"/>
      <c r="W6" s="105"/>
      <c r="X6" s="105"/>
      <c r="Y6" s="105"/>
      <c r="Z6" s="105"/>
      <c r="AA6" s="105"/>
      <c r="AB6" s="118" t="s">
        <v>6</v>
      </c>
      <c r="AC6" s="105"/>
      <c r="AD6" s="105"/>
      <c r="AE6" s="105"/>
      <c r="AF6" s="105"/>
      <c r="AG6" s="105"/>
      <c r="AH6" s="105" t="s">
        <v>6</v>
      </c>
      <c r="AI6" s="107"/>
      <c r="AJ6" s="105"/>
      <c r="AK6" s="105"/>
      <c r="AL6" s="105"/>
      <c r="AM6" s="105" t="s">
        <v>61</v>
      </c>
      <c r="AN6" s="106" t="s">
        <v>62</v>
      </c>
      <c r="AO6" s="105" t="s">
        <v>61</v>
      </c>
      <c r="AP6" s="106" t="s">
        <v>62</v>
      </c>
      <c r="AQ6" s="105" t="s">
        <v>61</v>
      </c>
      <c r="AR6" s="106" t="s">
        <v>62</v>
      </c>
      <c r="AS6" s="290"/>
      <c r="AT6" s="283"/>
      <c r="AU6" s="283"/>
      <c r="AV6" s="283"/>
      <c r="AW6" s="283"/>
      <c r="AX6" s="283"/>
      <c r="AY6" s="280"/>
      <c r="AZ6" s="283"/>
      <c r="BA6" s="280"/>
      <c r="BB6" s="283"/>
      <c r="BC6" s="281"/>
      <c r="BD6" s="107">
        <v>121</v>
      </c>
      <c r="BE6" s="107">
        <v>122</v>
      </c>
      <c r="BF6" s="107">
        <v>124</v>
      </c>
    </row>
    <row r="7" spans="1:59" ht="18" x14ac:dyDescent="0.25">
      <c r="A7" s="125"/>
      <c r="B7" s="109"/>
      <c r="C7" s="242"/>
      <c r="D7" s="145">
        <v>44743</v>
      </c>
      <c r="E7" s="105"/>
      <c r="F7" s="112"/>
      <c r="G7" s="123"/>
      <c r="H7" s="242"/>
      <c r="I7" s="111"/>
      <c r="J7" s="109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18"/>
      <c r="AC7" s="105"/>
      <c r="AD7" s="105"/>
      <c r="AE7" s="105"/>
      <c r="AF7" s="105"/>
      <c r="AG7" s="105"/>
      <c r="AH7" s="105"/>
      <c r="AI7" s="107"/>
      <c r="AJ7" s="105"/>
      <c r="AK7" s="105"/>
      <c r="AL7" s="113"/>
      <c r="AM7" s="105"/>
      <c r="AN7" s="105"/>
      <c r="AO7" s="105"/>
      <c r="AP7" s="105"/>
      <c r="AQ7" s="105"/>
      <c r="AR7" s="105"/>
      <c r="AS7" s="113"/>
      <c r="AT7" s="113"/>
      <c r="AU7" s="105"/>
      <c r="AV7" s="105"/>
      <c r="AW7" s="105"/>
      <c r="AX7" s="105"/>
      <c r="AY7" s="105"/>
      <c r="AZ7" s="105"/>
      <c r="BA7" s="105"/>
      <c r="BB7" s="105"/>
      <c r="BC7" s="114"/>
      <c r="BD7" s="1"/>
      <c r="BE7" s="1"/>
      <c r="BF7" s="1"/>
    </row>
    <row r="8" spans="1:59" x14ac:dyDescent="0.25">
      <c r="A8" s="125"/>
      <c r="B8" s="116" t="s">
        <v>15</v>
      </c>
      <c r="C8" s="242"/>
      <c r="D8" s="22" t="s">
        <v>216</v>
      </c>
      <c r="E8" s="22" t="s">
        <v>217</v>
      </c>
      <c r="F8" s="22" t="s">
        <v>69</v>
      </c>
      <c r="G8" s="45" t="s">
        <v>132</v>
      </c>
      <c r="H8" s="43">
        <v>5</v>
      </c>
      <c r="I8" s="22" t="s">
        <v>103</v>
      </c>
      <c r="J8" s="22">
        <v>2.2999999999999998</v>
      </c>
      <c r="K8" s="22">
        <v>82468</v>
      </c>
      <c r="L8" s="118">
        <f t="shared" ref="L8" si="0">K8*125/100</f>
        <v>103085</v>
      </c>
      <c r="M8" s="118">
        <f t="shared" ref="M8" si="1">L8*30%</f>
        <v>30925.5</v>
      </c>
      <c r="N8" s="105"/>
      <c r="O8" s="105"/>
      <c r="P8" s="105"/>
      <c r="Q8" s="105"/>
      <c r="R8" s="105"/>
      <c r="S8" s="105"/>
      <c r="T8" s="105"/>
      <c r="U8" s="118">
        <f t="shared" ref="U8" si="2">Q8+R8+S8+T8</f>
        <v>0</v>
      </c>
      <c r="V8" s="105">
        <v>5</v>
      </c>
      <c r="W8" s="105"/>
      <c r="X8" s="105"/>
      <c r="Y8" s="105"/>
      <c r="Z8" s="105"/>
      <c r="AA8" s="105"/>
      <c r="AB8" s="118">
        <f t="shared" ref="AB8" si="3">V8+W8+X8+Y8+Z8</f>
        <v>5</v>
      </c>
      <c r="AC8" s="105"/>
      <c r="AD8" s="105"/>
      <c r="AE8" s="105"/>
      <c r="AF8" s="105"/>
      <c r="AG8" s="105"/>
      <c r="AH8" s="118">
        <f t="shared" ref="AH8" si="4">AC8+AE8+AF8+AG8</f>
        <v>0</v>
      </c>
      <c r="AI8" s="119">
        <f t="shared" ref="AI8" si="5">U8+AB8+AH8</f>
        <v>5</v>
      </c>
      <c r="AJ8" s="105"/>
      <c r="AK8" s="105"/>
      <c r="AL8" s="113"/>
      <c r="AM8" s="105"/>
      <c r="AN8" s="105"/>
      <c r="AO8" s="105"/>
      <c r="AP8" s="105"/>
      <c r="AQ8" s="105"/>
      <c r="AR8" s="105"/>
      <c r="AS8" s="120">
        <f>M8/16*U8+M8/16*AB8+M8/16*AH8</f>
        <v>9664.21875</v>
      </c>
      <c r="AT8" s="120">
        <f t="shared" ref="AT8:AT9" si="6">AJ8+AK8+AL8+AN8+AP8+AR8+AS8</f>
        <v>9664.21875</v>
      </c>
      <c r="AU8" s="105"/>
      <c r="AV8" s="105"/>
      <c r="AW8" s="105"/>
      <c r="AX8" s="105"/>
      <c r="AY8" s="118">
        <f>AT8*75%</f>
        <v>7248.1640625</v>
      </c>
      <c r="AZ8" s="105"/>
      <c r="BA8" s="105"/>
      <c r="BB8" s="105"/>
      <c r="BC8" s="121">
        <f>AT8+AY8</f>
        <v>16912.3828125</v>
      </c>
      <c r="BD8" s="120">
        <f t="shared" ref="BD8:BD9" si="7">BC8*90/100*6%</f>
        <v>913.268671875</v>
      </c>
      <c r="BE8" s="118">
        <f t="shared" ref="BE8:BE9" si="8">BC8*90/100*3.5%</f>
        <v>532.74005859375006</v>
      </c>
      <c r="BF8" s="118">
        <f t="shared" ref="BF8:BF9" si="9">BC8*1.5%</f>
        <v>253.68574218749998</v>
      </c>
    </row>
    <row r="9" spans="1:59" x14ac:dyDescent="0.25">
      <c r="A9" s="238"/>
      <c r="B9" s="152" t="s">
        <v>119</v>
      </c>
      <c r="C9" s="153"/>
      <c r="D9" s="154"/>
      <c r="E9" s="154"/>
      <c r="F9" s="155"/>
      <c r="G9" s="156"/>
      <c r="H9" s="153"/>
      <c r="I9" s="157"/>
      <c r="J9" s="158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>
        <f>SUM(U7:U8)</f>
        <v>0</v>
      </c>
      <c r="V9" s="159"/>
      <c r="W9" s="159"/>
      <c r="X9" s="159"/>
      <c r="Y9" s="159"/>
      <c r="Z9" s="159"/>
      <c r="AA9" s="159"/>
      <c r="AB9" s="124">
        <f>SUM(AB7:AB8)</f>
        <v>5</v>
      </c>
      <c r="AC9" s="159"/>
      <c r="AD9" s="159"/>
      <c r="AE9" s="159"/>
      <c r="AF9" s="159"/>
      <c r="AG9" s="160"/>
      <c r="AH9" s="160">
        <f>SUM(AH7:AH8)</f>
        <v>0</v>
      </c>
      <c r="AI9" s="160">
        <f>SUM(AI7:AI8)</f>
        <v>5</v>
      </c>
      <c r="AJ9" s="159"/>
      <c r="AK9" s="159"/>
      <c r="AL9" s="159"/>
      <c r="AM9" s="159"/>
      <c r="AN9" s="159"/>
      <c r="AO9" s="159"/>
      <c r="AP9" s="159"/>
      <c r="AQ9" s="159"/>
      <c r="AR9" s="159"/>
      <c r="AS9" s="161">
        <f>SUM(AS7:AS8)</f>
        <v>9664.21875</v>
      </c>
      <c r="AT9" s="159">
        <f t="shared" si="6"/>
        <v>9664.21875</v>
      </c>
      <c r="AU9" s="159"/>
      <c r="AV9" s="159"/>
      <c r="AW9" s="159"/>
      <c r="AX9" s="159">
        <f>SUM(AX8:AX8)</f>
        <v>0</v>
      </c>
      <c r="AY9" s="159">
        <f>SUM(AY8:AY8)</f>
        <v>7248.1640625</v>
      </c>
      <c r="AZ9" s="159"/>
      <c r="BA9" s="159"/>
      <c r="BB9" s="159"/>
      <c r="BC9" s="161">
        <f>SUM(BC8:BC8)</f>
        <v>16912.3828125</v>
      </c>
      <c r="BD9" s="161">
        <f t="shared" si="7"/>
        <v>913.268671875</v>
      </c>
      <c r="BE9" s="159">
        <f t="shared" si="8"/>
        <v>532.74005859375006</v>
      </c>
      <c r="BF9" s="159">
        <f t="shared" si="9"/>
        <v>253.68574218749998</v>
      </c>
      <c r="BG9" s="97"/>
    </row>
    <row r="10" spans="1:59" x14ac:dyDescent="0.25">
      <c r="A10" s="143"/>
      <c r="B10" s="92"/>
      <c r="C10" s="93"/>
      <c r="D10" s="94"/>
      <c r="E10" s="94"/>
      <c r="F10" s="96"/>
      <c r="G10" s="146"/>
      <c r="H10" s="93"/>
      <c r="I10" s="95"/>
      <c r="J10" s="92"/>
      <c r="K10" s="94"/>
      <c r="L10" s="94"/>
      <c r="M10" s="162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122"/>
      <c r="AC10" s="94"/>
      <c r="AD10" s="94"/>
      <c r="AE10" s="94"/>
      <c r="AF10" s="94"/>
      <c r="AG10" s="138"/>
      <c r="AH10" s="137"/>
      <c r="AI10" s="139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7"/>
    </row>
    <row r="11" spans="1:59" x14ac:dyDescent="0.25">
      <c r="A11" s="143"/>
      <c r="B11" t="s">
        <v>214</v>
      </c>
      <c r="C11" s="13"/>
      <c r="E11" s="163" t="s">
        <v>219</v>
      </c>
      <c r="F11" s="96"/>
      <c r="G11" s="146"/>
      <c r="H11" s="93"/>
      <c r="I11" s="95"/>
      <c r="J11" s="92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122"/>
      <c r="AC11" s="94"/>
      <c r="AD11" s="94"/>
      <c r="AE11" s="94"/>
      <c r="AF11" s="94"/>
      <c r="AG11" s="94"/>
      <c r="AH11" s="94"/>
      <c r="AI11" s="97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140"/>
    </row>
    <row r="12" spans="1:59" x14ac:dyDescent="0.25">
      <c r="A12" s="143"/>
      <c r="D12" s="36"/>
      <c r="E12" s="164"/>
      <c r="F12" s="96"/>
      <c r="G12" s="146"/>
      <c r="H12" s="93"/>
      <c r="I12" s="95"/>
      <c r="J12" s="92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122"/>
      <c r="AC12" s="94"/>
      <c r="AD12" s="94"/>
      <c r="AE12" s="94"/>
      <c r="AF12" s="94"/>
      <c r="AG12" s="94"/>
      <c r="AH12" s="94"/>
      <c r="AI12" s="97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7"/>
    </row>
    <row r="13" spans="1:59" x14ac:dyDescent="0.25">
      <c r="A13" s="143"/>
      <c r="B13" t="s">
        <v>116</v>
      </c>
      <c r="E13" s="164" t="s">
        <v>128</v>
      </c>
      <c r="F13" s="96"/>
      <c r="G13" s="146"/>
      <c r="H13" s="93"/>
      <c r="I13" s="95"/>
      <c r="J13" s="92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122"/>
      <c r="AC13" s="94"/>
      <c r="AD13" s="94"/>
      <c r="AE13" s="94"/>
      <c r="AF13" s="94"/>
      <c r="AG13" s="94"/>
      <c r="AH13" s="94"/>
      <c r="AI13" s="97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7"/>
    </row>
    <row r="14" spans="1:59" x14ac:dyDescent="0.25">
      <c r="A14" s="143"/>
      <c r="D14" s="36"/>
      <c r="E14" s="164"/>
      <c r="F14" s="96"/>
      <c r="G14" s="146"/>
      <c r="H14" s="93"/>
      <c r="I14" s="95"/>
      <c r="J14" s="92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7"/>
      <c r="AB14" s="122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BC14" s="97"/>
    </row>
    <row r="15" spans="1:59" x14ac:dyDescent="0.25">
      <c r="A15" s="143"/>
      <c r="B15" t="s">
        <v>205</v>
      </c>
      <c r="E15" s="307" t="s">
        <v>86</v>
      </c>
      <c r="F15" s="96"/>
      <c r="G15" s="146"/>
      <c r="H15" s="93"/>
      <c r="I15" s="95"/>
      <c r="J15" s="92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122"/>
      <c r="AC15" s="94"/>
      <c r="AD15" s="94"/>
      <c r="AE15" s="94"/>
      <c r="AF15" s="94"/>
      <c r="AG15" s="94"/>
      <c r="AH15" s="94"/>
      <c r="AI15" s="97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7"/>
    </row>
  </sheetData>
  <mergeCells count="34">
    <mergeCell ref="BC4:BC6"/>
    <mergeCell ref="Q5:U5"/>
    <mergeCell ref="V5:AB5"/>
    <mergeCell ref="AC5:AH5"/>
    <mergeCell ref="AM5:AN5"/>
    <mergeCell ref="AO5:AP5"/>
    <mergeCell ref="AQ5:AR5"/>
    <mergeCell ref="AU5:AU6"/>
    <mergeCell ref="AV5:AV6"/>
    <mergeCell ref="AW5:AW6"/>
    <mergeCell ref="AU4:AW4"/>
    <mergeCell ref="AX4:AX6"/>
    <mergeCell ref="AY4:AY6"/>
    <mergeCell ref="AZ4:AZ6"/>
    <mergeCell ref="BA4:BA6"/>
    <mergeCell ref="BB4:BB6"/>
    <mergeCell ref="P4:P6"/>
    <mergeCell ref="Q4:AH4"/>
    <mergeCell ref="AJ4:AL4"/>
    <mergeCell ref="AM4:AR4"/>
    <mergeCell ref="AS4:AS6"/>
    <mergeCell ref="AT4:AT6"/>
    <mergeCell ref="I4:I6"/>
    <mergeCell ref="K4:K6"/>
    <mergeCell ref="L4:L6"/>
    <mergeCell ref="M4:M6"/>
    <mergeCell ref="N4:N6"/>
    <mergeCell ref="O4:O6"/>
    <mergeCell ref="A4:A6"/>
    <mergeCell ref="B4:B6"/>
    <mergeCell ref="D4:D6"/>
    <mergeCell ref="E4:E6"/>
    <mergeCell ref="F4:F6"/>
    <mergeCell ref="H4:H6"/>
  </mergeCells>
  <pageMargins left="0" right="0" top="0.74803149606299213" bottom="0.74803149606299213" header="0.31496062992125984" footer="0.31496062992125984"/>
  <pageSetup paperSize="9" scale="70" orientation="landscape" verticalDpi="0" copies="1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01.01.2021</vt:lpstr>
      <vt:lpstr>01.06.2022</vt:lpstr>
      <vt:lpstr>01.07.2022</vt:lpstr>
      <vt:lpstr>исслед</vt:lpstr>
      <vt:lpstr>экспер</vt:lpstr>
      <vt:lpstr>модер</vt:lpstr>
      <vt:lpstr>модер 01.06.2022</vt:lpstr>
      <vt:lpstr>модер 01.07.22</vt:lpstr>
      <vt:lpstr>'01.01.2021'!Область_печати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2022-06-22T04:00:15Z</dcterms:modified>
</cp:coreProperties>
</file>